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7945" windowHeight="12375" tabRatio="596" activeTab="3"/>
  </bookViews>
  <sheets>
    <sheet name="ChangeLog" sheetId="1" r:id="rId1"/>
    <sheet name="核心循环" sheetId="2" r:id="rId2"/>
    <sheet name="战斗公式" sheetId="3" r:id="rId3"/>
    <sheet name="养成框架" sheetId="4" r:id="rId4"/>
    <sheet name="养成框架(补充给运营)" sheetId="14" r:id="rId5"/>
    <sheet name="属性规划（旧）" sheetId="5" r:id="rId6"/>
    <sheet name="属性规划(新)" sheetId="15" r:id="rId7"/>
    <sheet name="玩法产出(新)" sheetId="18" r:id="rId8"/>
    <sheet name="玩法框架" sheetId="6" r:id="rId9"/>
    <sheet name="内容释放节奏" sheetId="7" r:id="rId10"/>
    <sheet name="商业化框架" sheetId="8" r:id="rId11"/>
    <sheet name="商业化框架(续)" sheetId="11" r:id="rId12"/>
    <sheet name="养成材料产销框架" sheetId="10" r:id="rId13"/>
    <sheet name="Sheet2" sheetId="13" r:id="rId14"/>
  </sheets>
  <externalReferences>
    <externalReference r:id="rId15"/>
    <externalReference r:id="rId16"/>
    <externalReference r:id="rId17"/>
  </externalReferences>
  <definedNames>
    <definedName name="_xlnm._FilterDatabase" localSheetId="5" hidden="1">'属性规划（旧）'!$D$57:$AC$92</definedName>
    <definedName name="_xlnm._FilterDatabase" localSheetId="6" hidden="1">'属性规划(新)'!$C$123:$AP$723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T80" authorId="0">
      <text>
        <r>
          <rPr>
            <b/>
            <sz val="9"/>
            <rFont val="宋体"/>
            <charset val="134"/>
          </rPr>
          <t>Administrator:</t>
        </r>
        <r>
          <rPr>
            <sz val="9"/>
            <rFont val="宋体"/>
            <charset val="134"/>
          </rPr>
          <t xml:space="preserve">
公式不一样了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<sst xmlns="http://schemas.openxmlformats.org/spreadsheetml/2006/main" count="3110" uniqueCount="1241">
  <si>
    <t>版本号</t>
  </si>
  <si>
    <t>修改时间</t>
  </si>
  <si>
    <t>修改内容</t>
  </si>
  <si>
    <t>修改人</t>
  </si>
  <si>
    <t>V1.00</t>
  </si>
  <si>
    <t>文档创建</t>
  </si>
  <si>
    <t>童超</t>
  </si>
  <si>
    <t>核心循环</t>
  </si>
  <si>
    <t xml:space="preserve">  </t>
  </si>
  <si>
    <t>设计思路</t>
  </si>
  <si>
    <t>ID</t>
  </si>
  <si>
    <t>无防御数值，基础伤害公式就是攻击和生命</t>
  </si>
  <si>
    <t>外围属性投放相对收敛，不做大数值</t>
  </si>
  <si>
    <t>公式可以拓展，预留新增特殊高价值属性的空间</t>
  </si>
  <si>
    <t>当所有梦灵生命值为0时，战斗失败</t>
  </si>
  <si>
    <t>后续在伤害的投放上，需要注意：角色自身养成提升的技能伤害走hit_result的技能系数【凸显专项的强度体验】，局内和局外的通用养成用dmg_rate【量大可以被稀释】，局外通用系统的专属角色养成用common_hit_rate【凸显专项的强度体验】且尽量避免减伤</t>
  </si>
  <si>
    <t>战斗公式</t>
  </si>
  <si>
    <t>战斗伤害计算：</t>
  </si>
  <si>
    <t>基础伤害=面板攻击</t>
  </si>
  <si>
    <t>注：</t>
  </si>
  <si>
    <t>1、局外所有属性最终由服务端转换成相应的战斗属性发给客户端（除怪物增伤外）</t>
  </si>
  <si>
    <t>2、面板攻击是不带属性类型的，理解为全局基础攻击力属性表的最终atk</t>
  </si>
  <si>
    <t>乘区划分</t>
  </si>
  <si>
    <t>常规伤害计算=（基础伤害乘区 * 1技能系数乘区 *2局外伤害加成乘区 *3局内伤害加成乘区 *暴击伤害-固定减伤）*4怪物抗性乘区* 5伤害减免乘区 * 6英雄蓝字伤害乘区 *8英雄机制伤害* 9角色伤害乘区*10距离伤害乘区*11怪物增伤乘区*12伤害波动乘区*13元素伤害乘区</t>
  </si>
  <si>
    <t>1、技能伤害乘区=（攻击者技能伤害系数*（1+技能类型效果增幅系数）+附加系数修正技能倍率）</t>
  </si>
  <si>
    <t>修改计算方式成乘法，（攻击者技能伤害系数+附加系数修正技能倍率*（1+技能类型效果增幅系数））</t>
  </si>
  <si>
    <t>2、局外伤害加成乘区=1+ Σ伤害加成的汇总  用旧的dmg_rate</t>
  </si>
  <si>
    <t>存放职业伤害增加（队长伤害加成、全局伤害加成、战士/法师/毒/控制/辅助/射手伤害加成）</t>
  </si>
  <si>
    <t>存放玩法伤害增加，如对小怪增伤属性616~618</t>
  </si>
  <si>
    <t>存放怪物伤害增加，如对小怪增伤属性608~615</t>
  </si>
  <si>
    <t>3、局内伤害加成乘区=1+ Σ伤害加成的汇总</t>
  </si>
  <si>
    <t>新增乘区和属性：局内伤害加成 dmg_rate，大部分局内增伤都放到这里，如红温卡带加成到这里</t>
  </si>
  <si>
    <t>4、怪物抗性乘区=min(max(0.2,1- 怪物最终抗性),2)</t>
  </si>
  <si>
    <t>当怪物对应职业抗性&lt;=0时候，</t>
  </si>
  <si>
    <t>怪物最终抗性=怪物对应职业抗性</t>
  </si>
  <si>
    <t>当怪物对应职业抗性&gt;0时 ,</t>
  </si>
  <si>
    <t>怪物最终抗性=max(怪物对应职业抗性-最终无视怪物抗性,0)</t>
  </si>
  <si>
    <t>5、伤害减免乘区=1-伤害减免</t>
  </si>
  <si>
    <t>新增乘区：从原本公式挪出来，伤害减免dmg_red_rate，易伤配置负数实现，英雄伤害减免配正数</t>
  </si>
  <si>
    <t>6、英雄蓝字伤害乘区=1+蓝字伤害加成（新属性）</t>
  </si>
  <si>
    <t>新增属性和乘区：蓝字字体伤害，保证字体颜色变化时，一定是有这么多百分比</t>
  </si>
  <si>
    <t>8、英雄机制伤害=1+机制伤害加成（新属性）</t>
  </si>
  <si>
    <t>新增属性和乘区：英雄机制伤害增加，如对中毒单位伤害增加、对冰冻伤害增加加到这里乘区</t>
  </si>
  <si>
    <t>9、角色增伤乘区=1+英雄升阶伤害加成（新属性）</t>
  </si>
  <si>
    <t>新增属性：角色升级伤害加成，如20级寒冰给的10%伤害加成</t>
  </si>
  <si>
    <t>10、距离伤害乘区=1+近距离伤害加成/远距离伤害加成（新属性）</t>
  </si>
  <si>
    <t>新增属性和乘区：短/远距离伤害加成，战斗给距离，给战士职业属性用</t>
  </si>
  <si>
    <t>11、伤害波动乘区=1+伤害波动</t>
  </si>
  <si>
    <t>新增乘区：属性后续加，先预留</t>
  </si>
  <si>
    <t>12、元素伤害乘区=1+对应元素伤害加成+全元素伤害增加</t>
  </si>
  <si>
    <t>新增乘区：存放元素伤害增加，如对小怪增伤301~321（后期如果做元素，就有追求）</t>
  </si>
  <si>
    <t>13、特殊增伤乘区=1+特殊宝石伤害加成</t>
  </si>
  <si>
    <t>新增乘区：属性后续加，先预留，用来存放宝石属性，保证后期红宝石追求</t>
  </si>
  <si>
    <t>14、局内攻击加成</t>
  </si>
  <si>
    <t>新增属性：局内攻击加成atk_rate</t>
  </si>
  <si>
    <t>新版伤害计算公式为</t>
  </si>
  <si>
    <t>最终伤害=攻击者局外属性×（1+攻击者局外属性加成）×（1+局内攻击加成）×（攻击者技能伤害系数*（1+技能类型效果增幅系数）+附加系数修正技能倍率）)×（1+局外伤害加成总和）*（1+局内伤害加成总和）</t>
  </si>
  <si>
    <t xml:space="preserve">×（攻击者爆伤-受击者爆伤减免）-受击者固定减伤）×max【（1+攻击者最终伤害加成-受击者最终伤害减免），0】*min(max(0.2,1-最终怪物对应职业抗性+最终无视怪物抗性),1) </t>
  </si>
  <si>
    <t>× max（1-受击者各种伤害减免总和，10%）×（1+英雄蓝字伤害增加_dmg_rate）×（1+英雄机制增伤_dmg_rate）×（1+英雄升阶增伤_dmg_rate）×（1+距离伤害增加_dmg_rate）*（1+伤害波动_dmg_rate）*（1+元素增伤_dmg_rate）*（1+特殊增伤_dmg_rate）</t>
  </si>
  <si>
    <t>特殊伤害计算：</t>
  </si>
  <si>
    <t>新公式与常规技能伤害计算相同</t>
  </si>
  <si>
    <r>
      <rPr>
        <strike/>
        <sz val="10"/>
        <color rgb="FF000000"/>
        <rFont val="微软雅黑"/>
        <charset val="134"/>
      </rPr>
      <t>Dot伤害=施法者攻击力</t>
    </r>
    <r>
      <rPr>
        <strike/>
        <sz val="10"/>
        <color rgb="FFFF0000"/>
        <rFont val="微软雅黑"/>
        <charset val="134"/>
      </rPr>
      <t>*dot系数*（攻击方总异常伤害加成-防守方总异常伤害减免）*层数</t>
    </r>
  </si>
  <si>
    <r>
      <rPr>
        <sz val="10"/>
        <color rgb="FF000000"/>
        <rFont val="微软雅黑"/>
        <charset val="134"/>
      </rPr>
      <t>Dot伤害=攻击者局外属性×（1+攻击者局外属性加成）×（1+局内攻击加成）×（</t>
    </r>
    <r>
      <rPr>
        <sz val="10"/>
        <color rgb="FFFF0000"/>
        <rFont val="微软雅黑"/>
        <charset val="134"/>
      </rPr>
      <t>dot系数</t>
    </r>
    <r>
      <rPr>
        <sz val="10"/>
        <color rgb="FF000000"/>
        <rFont val="微软雅黑"/>
        <charset val="134"/>
      </rPr>
      <t>*（1+技能类型效果增幅系数）+附加系数修正技能倍率）)×（1+局外伤害加成总和）*（1+局内伤害加成总和）</t>
    </r>
  </si>
  <si>
    <t>×（攻击方总异常伤害加成-防守方总异常伤害减免）*层数</t>
  </si>
  <si>
    <t>生命上限类dot=min（目标生命上限*系数*（攻击方总异常伤害加成-防守方总异常伤害减免），施法者攻击力*x%）</t>
  </si>
  <si>
    <t>基础治疗量=自身属性*基础技能系数*（1+额外加技能系数）</t>
  </si>
  <si>
    <t>战斗实际治疗量=（基础治疗量+固定值）*（1+治疗方治疗增强-治疗方治疗降低）*（1+受疗方受疗增强-受疗方受疗降低）+目标生命上限百分比</t>
  </si>
  <si>
    <t>攻击间隔=基础间隔/（1+攻击速度）</t>
  </si>
  <si>
    <t>技能CD=基础CD/（1+技能冷却效率）</t>
  </si>
  <si>
    <t>能量值=基础能量*（1+能量增幅）</t>
  </si>
  <si>
    <t>能量恢复=基础能量恢复*（1+能量恢复效率）</t>
  </si>
  <si>
    <t>负面时间=基础负面时间*（1+负面效果时间延长）</t>
  </si>
  <si>
    <t>属性因子</t>
  </si>
  <si>
    <t>属性ID</t>
  </si>
  <si>
    <t>属性名称</t>
  </si>
  <si>
    <t>因子</t>
  </si>
  <si>
    <t>属性类型</t>
  </si>
  <si>
    <t>战力评分</t>
  </si>
  <si>
    <t>生命值</t>
  </si>
  <si>
    <t>hp_max</t>
  </si>
  <si>
    <t>固定值</t>
  </si>
  <si>
    <t>攻击力</t>
  </si>
  <si>
    <t>atk</t>
  </si>
  <si>
    <t>生命比</t>
  </si>
  <si>
    <t>hp_rate</t>
  </si>
  <si>
    <t>万分比</t>
  </si>
  <si>
    <t>攻击比</t>
  </si>
  <si>
    <t>atk_tate</t>
  </si>
  <si>
    <t>暴击率</t>
  </si>
  <si>
    <t>crit_rate</t>
  </si>
  <si>
    <t>抗暴击</t>
  </si>
  <si>
    <t>crit_resist</t>
  </si>
  <si>
    <t>暴击伤害</t>
  </si>
  <si>
    <t>crit_dmg</t>
  </si>
  <si>
    <t>爆伤减免</t>
  </si>
  <si>
    <t>crit_dmg_red</t>
  </si>
  <si>
    <t>伤害增加</t>
  </si>
  <si>
    <t>dmg_rate</t>
  </si>
  <si>
    <t>伤害减免</t>
  </si>
  <si>
    <t>dmg_red_rate</t>
  </si>
  <si>
    <t>固定减伤</t>
  </si>
  <si>
    <t>dmg_red</t>
  </si>
  <si>
    <t>全元素攻击</t>
  </si>
  <si>
    <t>element_atk</t>
  </si>
  <si>
    <t>全元素增伤</t>
  </si>
  <si>
    <t>element_inc_rate</t>
  </si>
  <si>
    <t>全元素减免</t>
  </si>
  <si>
    <t>element_red_rate</t>
  </si>
  <si>
    <t>冰元素攻击</t>
  </si>
  <si>
    <t>ice_atk</t>
  </si>
  <si>
    <t>冰元素增伤</t>
  </si>
  <si>
    <t>ice_inc_rate</t>
  </si>
  <si>
    <t>冰元素减免</t>
  </si>
  <si>
    <t>ice_red_rate</t>
  </si>
  <si>
    <t>火元素攻击</t>
  </si>
  <si>
    <t>fire_atk</t>
  </si>
  <si>
    <t>火元素增伤</t>
  </si>
  <si>
    <t>fire_inc_rate</t>
  </si>
  <si>
    <t>火元素减免</t>
  </si>
  <si>
    <t>fire_red_rate</t>
  </si>
  <si>
    <t>电元素攻击</t>
  </si>
  <si>
    <t>lightning_atk</t>
  </si>
  <si>
    <t>电元素增伤</t>
  </si>
  <si>
    <t>lightning_inc_rate</t>
  </si>
  <si>
    <t>电元素减免</t>
  </si>
  <si>
    <t>lightning_red_rate</t>
  </si>
  <si>
    <t>风元素攻击</t>
  </si>
  <si>
    <t>wind_atk</t>
  </si>
  <si>
    <t>风元素增伤</t>
  </si>
  <si>
    <t>wind_inc_rate</t>
  </si>
  <si>
    <t>风元素减免</t>
  </si>
  <si>
    <t>wind_red_rate</t>
  </si>
  <si>
    <t>念力攻击</t>
  </si>
  <si>
    <t>confusion_atk</t>
  </si>
  <si>
    <t>念力增伤</t>
  </si>
  <si>
    <t>confusion_inc_rate</t>
  </si>
  <si>
    <t>念力减免</t>
  </si>
  <si>
    <t>confusion_red_rate</t>
  </si>
  <si>
    <t>物理攻击</t>
  </si>
  <si>
    <t>physic_atk</t>
  </si>
  <si>
    <t>物理增伤</t>
  </si>
  <si>
    <t>physic_inc_rate</t>
  </si>
  <si>
    <t>物理减免</t>
  </si>
  <si>
    <t>physic_red_rate</t>
  </si>
  <si>
    <t>攻击速度</t>
  </si>
  <si>
    <t>atk_speed</t>
  </si>
  <si>
    <t>待定</t>
  </si>
  <si>
    <t>技能冷却【毫秒】</t>
  </si>
  <si>
    <t>skill_cd</t>
  </si>
  <si>
    <t>技能冷却效率</t>
  </si>
  <si>
    <t>skill_cd_rate</t>
  </si>
  <si>
    <t>能量</t>
  </si>
  <si>
    <t>max_energy</t>
  </si>
  <si>
    <t>能量增幅</t>
  </si>
  <si>
    <t>energy_rate</t>
  </si>
  <si>
    <t>能量恢复效率【毫秒】</t>
  </si>
  <si>
    <t>energy_recover</t>
  </si>
  <si>
    <t>能量恢复增幅</t>
  </si>
  <si>
    <t>energy_recover_rate</t>
  </si>
  <si>
    <t>负面效果时间</t>
  </si>
  <si>
    <t>dot_time</t>
  </si>
  <si>
    <t>负面效果时间延长</t>
  </si>
  <si>
    <t>dot_time_rate</t>
  </si>
  <si>
    <t>主伤害增幅</t>
  </si>
  <si>
    <t>main_hit_rate</t>
  </si>
  <si>
    <t>副伤害增幅</t>
  </si>
  <si>
    <t>sub_hit_rate</t>
  </si>
  <si>
    <t>爆炸伤害增幅</t>
  </si>
  <si>
    <t>bomb_rate</t>
  </si>
  <si>
    <t>弹道伤害增幅</t>
  </si>
  <si>
    <t>bullet_hit_rate</t>
  </si>
  <si>
    <t>通用技能类型增幅</t>
  </si>
  <si>
    <t>common_hit_rate</t>
  </si>
  <si>
    <t>最终伤害加成</t>
  </si>
  <si>
    <t>final_dmg_rate</t>
  </si>
  <si>
    <t>最终伤害减免</t>
  </si>
  <si>
    <t>final_dmg_red_rate</t>
  </si>
  <si>
    <t>技能系数演算</t>
  </si>
  <si>
    <t>1~6</t>
  </si>
  <si>
    <t>装备成长</t>
  </si>
  <si>
    <t>梦灵成长</t>
  </si>
  <si>
    <t>符文成长</t>
  </si>
  <si>
    <t>主角成长</t>
  </si>
  <si>
    <t>基础战力构造</t>
  </si>
  <si>
    <t>列1</t>
  </si>
  <si>
    <t>怪物生命</t>
  </si>
  <si>
    <t>攻击</t>
  </si>
  <si>
    <t>伤害加成</t>
  </si>
  <si>
    <t>技能倍率</t>
  </si>
  <si>
    <t>等级系数</t>
  </si>
  <si>
    <t>梦灵增伤</t>
  </si>
  <si>
    <t>怪物增伤</t>
  </si>
  <si>
    <t>机制增伤</t>
  </si>
  <si>
    <t>最终增伤</t>
  </si>
  <si>
    <t>预留增伤</t>
  </si>
  <si>
    <t>主角攻击</t>
  </si>
  <si>
    <t>主角暴击</t>
  </si>
  <si>
    <t>技能倍率2</t>
  </si>
  <si>
    <t>主角伤害加成</t>
  </si>
  <si>
    <t>基础模板</t>
  </si>
  <si>
    <t>增量1</t>
  </si>
  <si>
    <t>战斗回合</t>
  </si>
  <si>
    <t>战斗因子</t>
  </si>
  <si>
    <t>成长收益</t>
  </si>
  <si>
    <t>定价</t>
  </si>
  <si>
    <t>养成框架</t>
  </si>
  <si>
    <t>类型ID</t>
  </si>
  <si>
    <t>定义</t>
  </si>
  <si>
    <t>活跃</t>
  </si>
  <si>
    <t>定义为80%来源为日常游玩获取，极少付费加速。</t>
  </si>
  <si>
    <t>活跃+付费</t>
  </si>
  <si>
    <t>定义为活跃有持续获取，且付费有比较大的加速空间。</t>
  </si>
  <si>
    <t>付费</t>
  </si>
  <si>
    <t>定位为主要靠付费获取，活跃需要较长时间在活动或者商店兑换获取。（兑换周期一般在一周以上）</t>
  </si>
  <si>
    <t>养成模块</t>
  </si>
  <si>
    <t>养成点</t>
  </si>
  <si>
    <t>开启时机</t>
  </si>
  <si>
    <t>简述</t>
  </si>
  <si>
    <t>商业化定位</t>
  </si>
  <si>
    <t>付费层级</t>
  </si>
  <si>
    <t xml:space="preserve"> 养成定位</t>
  </si>
  <si>
    <t>战斗影响</t>
  </si>
  <si>
    <t>主要获取途径</t>
  </si>
  <si>
    <t>梦灵1</t>
  </si>
  <si>
    <t>升级</t>
  </si>
  <si>
    <t>首日</t>
  </si>
  <si>
    <t>游戏养成方面的主轴线，随英雄池拓展，步长稳定</t>
  </si>
  <si>
    <t>免费</t>
  </si>
  <si>
    <t>细颗粒度</t>
  </si>
  <si>
    <t>属性+机制</t>
  </si>
  <si>
    <t>抽卡</t>
  </si>
  <si>
    <t>梦灵2</t>
  </si>
  <si>
    <t>图鉴</t>
  </si>
  <si>
    <t>给老英雄提供价值，提供全局爆伤属性，为暴击属性铺垫</t>
  </si>
  <si>
    <t>属性</t>
  </si>
  <si>
    <t>梦灵3</t>
  </si>
  <si>
    <t>专属卡带</t>
  </si>
  <si>
    <t>/</t>
  </si>
  <si>
    <t>梦灵专武，变更梦灵技能效果，本体升星，拓宽梦灵深度</t>
  </si>
  <si>
    <t>大R</t>
  </si>
  <si>
    <t>大颗粒度</t>
  </si>
  <si>
    <t>专属卡带+被动</t>
  </si>
  <si>
    <t>特殊商业化活动</t>
  </si>
  <si>
    <t>梦灵4</t>
  </si>
  <si>
    <t>皮肤</t>
  </si>
  <si>
    <t>为高人气梦灵做全套定制的视觉差异，纯皮，针对超R</t>
  </si>
  <si>
    <t>超R</t>
  </si>
  <si>
    <t>运营活动</t>
  </si>
  <si>
    <t>主角1</t>
  </si>
  <si>
    <t>装备</t>
  </si>
  <si>
    <t>前期高额基础属性，中期高额伤害加成，后期洗练拓宽保证步长稳定</t>
  </si>
  <si>
    <t>固定属性</t>
  </si>
  <si>
    <t>挂机、组队玩法</t>
  </si>
  <si>
    <t>主角2</t>
  </si>
  <si>
    <t>武器</t>
  </si>
  <si>
    <t>促进联盟发展，投放加速，围绕加速搭建生态</t>
  </si>
  <si>
    <t>中颗粒度</t>
  </si>
  <si>
    <t>固定属性+技能</t>
  </si>
  <si>
    <t>日常+组队玩法+公会玩法</t>
  </si>
  <si>
    <t>主角3</t>
  </si>
  <si>
    <t>宝石</t>
  </si>
  <si>
    <t>前期合成，中后期洗练</t>
  </si>
  <si>
    <t>中R</t>
  </si>
  <si>
    <t>属性+技能+机制</t>
  </si>
  <si>
    <t>日常活跃</t>
  </si>
  <si>
    <t>主角4</t>
  </si>
  <si>
    <t>武器皮肤</t>
  </si>
  <si>
    <t>个性化外观+局内触发类进攻技能售卖，超R追求满星</t>
  </si>
  <si>
    <t>属性+技能</t>
  </si>
  <si>
    <t>主角5</t>
  </si>
  <si>
    <t>时装皮肤</t>
  </si>
  <si>
    <t>个性化外观+局内玩法机制类效果售卖，超R追求满星</t>
  </si>
  <si>
    <t>养成步长设计</t>
  </si>
  <si>
    <t>养成步长思路</t>
  </si>
  <si>
    <t>时期分类</t>
  </si>
  <si>
    <t>步长分为 新手期（前10关特殊调整产出，主要从首通、三星宝箱奖励上平衡步长）、前期（初始功能无，爽1~2天进入稳定期）、中期（稳定标准成长，小额进行衰减产出，基本不受新手期影响）、后期（性价比暴跌，被其他养成替代）</t>
  </si>
  <si>
    <t>主轴分类</t>
  </si>
  <si>
    <t>核心cv包括主线关卡和等级两条线，天数&amp;等级线是去控制基础属性的节奏（等级线是为技能系数服务的，确保成长的稳定和玩家差距），天数&amp;关卡线是控制技能系数的节奏（通过核心产出关联，这样能确保英雄的释放节奏），天数&amp;关卡线 和 天数&amp;等级线都是单独出来的两条线，这里用关键节点去控体验</t>
  </si>
  <si>
    <t>天数&amp;关卡线</t>
  </si>
  <si>
    <r>
      <rPr>
        <sz val="10"/>
        <color theme="1"/>
        <rFont val="微软雅黑"/>
        <charset val="134"/>
      </rPr>
      <t>14天50关（大R7天50关，</t>
    </r>
    <r>
      <rPr>
        <sz val="10"/>
        <color rgb="FFFF0000"/>
        <rFont val="微软雅黑"/>
        <charset val="134"/>
      </rPr>
      <t>靠英雄释放节奏要爽</t>
    </r>
    <r>
      <rPr>
        <sz val="10"/>
        <color theme="1"/>
        <rFont val="微软雅黑"/>
        <charset val="134"/>
      </rPr>
      <t>），也是首月冲榜的关键节点</t>
    </r>
  </si>
  <si>
    <r>
      <rPr>
        <sz val="10"/>
        <color theme="1"/>
        <rFont val="微软雅黑"/>
        <charset val="134"/>
      </rPr>
      <t>30天70关（每天1.5关，</t>
    </r>
    <r>
      <rPr>
        <sz val="10"/>
        <color rgb="FFFF0000"/>
        <rFont val="微软雅黑"/>
        <charset val="134"/>
      </rPr>
      <t>英雄转红卡节奏变慢</t>
    </r>
    <r>
      <rPr>
        <sz val="10"/>
        <color theme="1"/>
        <rFont val="微软雅黑"/>
        <charset val="134"/>
      </rPr>
      <t>，宝石慢慢成为主力）</t>
    </r>
  </si>
  <si>
    <r>
      <rPr>
        <sz val="10"/>
        <color theme="1"/>
        <rFont val="微软雅黑"/>
        <charset val="134"/>
      </rPr>
      <t>60天100关（每天1关，</t>
    </r>
    <r>
      <rPr>
        <sz val="10"/>
        <color rgb="FFFF0000"/>
        <rFont val="微软雅黑"/>
        <charset val="134"/>
      </rPr>
      <t>宝石是主力，用最优解宝石组合去控成长</t>
    </r>
    <r>
      <rPr>
        <sz val="10"/>
        <color theme="1"/>
        <rFont val="微软雅黑"/>
        <charset val="134"/>
      </rPr>
      <t>）</t>
    </r>
  </si>
  <si>
    <r>
      <rPr>
        <sz val="10"/>
        <color theme="1"/>
        <rFont val="微软雅黑"/>
        <charset val="134"/>
      </rPr>
      <t>120天150关（小R开始追不上大R，大R开始</t>
    </r>
    <r>
      <rPr>
        <sz val="10"/>
        <color rgb="FFFF0000"/>
        <rFont val="微软雅黑"/>
        <charset val="134"/>
      </rPr>
      <t>专项宝石拉开差距</t>
    </r>
    <r>
      <rPr>
        <sz val="10"/>
        <color theme="1"/>
        <rFont val="微软雅黑"/>
        <charset val="134"/>
      </rPr>
      <t>，拓展新养成和新英雄缩小差距）</t>
    </r>
  </si>
  <si>
    <r>
      <rPr>
        <sz val="10"/>
        <color theme="1"/>
        <rFont val="微软雅黑"/>
        <charset val="134"/>
      </rPr>
      <t>天数&amp;等级线（核心是基础装备，</t>
    </r>
    <r>
      <rPr>
        <sz val="10"/>
        <color rgb="FFFF0000"/>
        <rFont val="微软雅黑"/>
        <charset val="134"/>
      </rPr>
      <t>品质=&gt;换代装备效率，等级=&gt;换代装备节奏</t>
    </r>
    <r>
      <rPr>
        <sz val="10"/>
        <color theme="1"/>
        <rFont val="微软雅黑"/>
        <charset val="134"/>
      </rPr>
      <t>）</t>
    </r>
  </si>
  <si>
    <t>14天56级（装备换代定制到3~4天，到50级装备稳定打通50关，这里是关键节点），前期10~30级基础装备的体验核心是2天一个等级段、品质低换代效率高。40~50级是4天一个等极段，品质稍高但节奏依旧紧凑度更高，培养装备认识=多刷才跟得上，营造合作本中的交互</t>
  </si>
  <si>
    <t>21天63级，28天70级（每周迭代一个版本装备），此处的假设是已经培养出装备的认识，要多刷，保证体验=将将好能实现 换代换代=换代效率+洗练节奏</t>
  </si>
  <si>
    <t>34天~60天2周，60~120天2周一次是极限，品质进一步拉高，换代效率更慢了，两周一次换代，这里要能突出洗练的重要性（洗练属性的堆叠+词条的选择）</t>
  </si>
  <si>
    <t>英雄</t>
  </si>
  <si>
    <t>#不做保底</t>
  </si>
  <si>
    <t>玩家</t>
  </si>
  <si>
    <t>副本次数*5+扫荡*40/5</t>
  </si>
  <si>
    <t>基因</t>
  </si>
  <si>
    <t>对标装备</t>
  </si>
  <si>
    <t>非r主线进度</t>
  </si>
  <si>
    <t>倍率成长</t>
  </si>
  <si>
    <t>挂件属性</t>
  </si>
  <si>
    <t>天数</t>
  </si>
  <si>
    <t>主线进度</t>
  </si>
  <si>
    <t>每日关卡数</t>
  </si>
  <si>
    <t>品质</t>
  </si>
  <si>
    <t>蓝英雄</t>
  </si>
  <si>
    <t>紫英雄</t>
  </si>
  <si>
    <t>橙英雄</t>
  </si>
  <si>
    <t>红英雄</t>
  </si>
  <si>
    <t>宝石解锁</t>
  </si>
  <si>
    <t>宝石品质</t>
  </si>
  <si>
    <t>基础倍率</t>
  </si>
  <si>
    <t>英雄期望倍率</t>
  </si>
  <si>
    <t>宝石期望倍率</t>
  </si>
  <si>
    <t>宝石总倍率</t>
  </si>
  <si>
    <t>每日升级</t>
  </si>
  <si>
    <t>玩家等级</t>
  </si>
  <si>
    <t>装备等级</t>
  </si>
  <si>
    <t>装备强化</t>
  </si>
  <si>
    <t>装备品质</t>
  </si>
  <si>
    <t>基因节点</t>
  </si>
  <si>
    <t>装备等级步长</t>
  </si>
  <si>
    <t>专属符文</t>
  </si>
  <si>
    <t>加成数值</t>
  </si>
  <si>
    <t>绿</t>
  </si>
  <si>
    <t>蓝</t>
  </si>
  <si>
    <t>紫色符文</t>
  </si>
  <si>
    <t>橙卡1</t>
  </si>
  <si>
    <t>紫</t>
  </si>
  <si>
    <t>橙色符文</t>
  </si>
  <si>
    <t>橙卡2</t>
  </si>
  <si>
    <t>橙</t>
  </si>
  <si>
    <t>红色符文</t>
  </si>
  <si>
    <t>橙卡3</t>
  </si>
  <si>
    <t>彩色符文</t>
  </si>
  <si>
    <t>橙卡4</t>
  </si>
  <si>
    <t>橙卡5</t>
  </si>
  <si>
    <t>橙卡6</t>
  </si>
  <si>
    <t>红卡1</t>
  </si>
  <si>
    <t>红</t>
  </si>
  <si>
    <t>红卡2</t>
  </si>
  <si>
    <t>红卡3</t>
  </si>
  <si>
    <t>红卡4</t>
  </si>
  <si>
    <t>红卡5</t>
  </si>
  <si>
    <t>红卡6</t>
  </si>
  <si>
    <t>粉</t>
  </si>
  <si>
    <t>粉卡1</t>
  </si>
  <si>
    <t>粉卡2</t>
  </si>
  <si>
    <t>粉卡3</t>
  </si>
  <si>
    <t>彩</t>
  </si>
  <si>
    <t>粉卡4</t>
  </si>
  <si>
    <t>粉卡5</t>
  </si>
  <si>
    <t>粉卡6</t>
  </si>
  <si>
    <t>节奏篇</t>
  </si>
  <si>
    <t>节奏</t>
  </si>
  <si>
    <t>关卡成长</t>
  </si>
  <si>
    <t>每阶段</t>
  </si>
  <si>
    <t>每日成长</t>
  </si>
  <si>
    <t>应有的总的倍率</t>
  </si>
  <si>
    <t>每日倍率</t>
  </si>
  <si>
    <t>实际倍率</t>
  </si>
  <si>
    <t>单日成长</t>
  </si>
  <si>
    <t>单日倍率成长</t>
  </si>
  <si>
    <t>剧本篇</t>
  </si>
  <si>
    <t>装备剧本</t>
  </si>
  <si>
    <t>前期装备作为主要提升，洗练作为后期核心玩法，要求洗重复属性+洗练次数叠加+多词条要求（洗练要求越来越高）</t>
  </si>
  <si>
    <t>A</t>
  </si>
  <si>
    <t>英雄剧本（玩橙卡才是最快乐的）</t>
  </si>
  <si>
    <t>B</t>
  </si>
  <si>
    <t>1~14天，橙卡迭代带来的增伤是主力，英雄升星节奏快，英雄定制为主，低概率自己出，两关一个提升很稳定。英雄占比有60%</t>
  </si>
  <si>
    <t>20~60天红卡膨胀速率变缓</t>
  </si>
  <si>
    <t>#稀释用，基础倍率起来后让宝石去转效果类</t>
  </si>
  <si>
    <t>#白板攻击属性</t>
  </si>
  <si>
    <t>基础倍率=基因养成+装备养成</t>
  </si>
  <si>
    <t>装备+品质</t>
  </si>
  <si>
    <t>洗练属性占比</t>
  </si>
  <si>
    <t>符文</t>
  </si>
  <si>
    <t>总量</t>
  </si>
  <si>
    <t>装备属性</t>
  </si>
  <si>
    <t>强化属性</t>
  </si>
  <si>
    <t>洗练属性</t>
  </si>
  <si>
    <t>符文属性</t>
  </si>
  <si>
    <t>预留</t>
  </si>
  <si>
    <t>总倍率</t>
  </si>
  <si>
    <t>基因养成</t>
  </si>
  <si>
    <t>装备养成</t>
  </si>
  <si>
    <t>英雄品质</t>
  </si>
  <si>
    <t>单宝石期望强度</t>
  </si>
  <si>
    <t>强化次数</t>
  </si>
  <si>
    <t>单次成长</t>
  </si>
  <si>
    <t>强化成长</t>
  </si>
  <si>
    <t>品质投放比例</t>
  </si>
  <si>
    <t>比例</t>
  </si>
  <si>
    <t>等级</t>
  </si>
  <si>
    <t>白</t>
  </si>
  <si>
    <t>1、二选一打断领取</t>
  </si>
  <si>
    <t>2、一键领取优先判断二选一</t>
  </si>
  <si>
    <t>关卡属性成长</t>
  </si>
  <si>
    <t>关卡</t>
  </si>
  <si>
    <t>期望天数</t>
  </si>
  <si>
    <t>成长系数</t>
  </si>
  <si>
    <t>节点说明</t>
  </si>
  <si>
    <t>关卡生命</t>
  </si>
  <si>
    <t>饱和率</t>
  </si>
  <si>
    <t>主技能+被动</t>
  </si>
  <si>
    <t>升阶技能</t>
  </si>
  <si>
    <t>皮肤系数</t>
  </si>
  <si>
    <t>卡带加成</t>
  </si>
  <si>
    <t>符文攻击</t>
  </si>
  <si>
    <t>专属符文增伤</t>
  </si>
  <si>
    <t>符文最终增伤</t>
  </si>
  <si>
    <t>暴击收益</t>
  </si>
  <si>
    <t>职业/体系增伤</t>
  </si>
  <si>
    <t>定制</t>
  </si>
  <si>
    <t>首日卡点</t>
  </si>
  <si>
    <t>练度预期</t>
  </si>
  <si>
    <t>非R，不买体力，满肝度，每日三次组队本</t>
  </si>
  <si>
    <t>当前计算为未折算的成长预期</t>
  </si>
  <si>
    <t>后续优化：前七天具体计算，当前七天未核算的有体力</t>
  </si>
  <si>
    <t>等级预期</t>
  </si>
  <si>
    <t>主线关卡数</t>
  </si>
  <si>
    <t>非R</t>
  </si>
  <si>
    <t>小R</t>
  </si>
  <si>
    <t>装备预期（同基础属性汇总）</t>
  </si>
  <si>
    <t>总属性预期</t>
  </si>
  <si>
    <t>强化等级</t>
  </si>
  <si>
    <t>梦灵预期</t>
  </si>
  <si>
    <t>释放期望天数</t>
  </si>
  <si>
    <t>卡池等级</t>
  </si>
  <si>
    <t>每周可用兑换积分对模型影响较小</t>
  </si>
  <si>
    <t>招募释放</t>
  </si>
  <si>
    <t>活动总抽</t>
  </si>
  <si>
    <t>兑换积分</t>
  </si>
  <si>
    <t>蓝卡等级</t>
  </si>
  <si>
    <t>紫卡等级</t>
  </si>
  <si>
    <t>橙卡等级</t>
  </si>
  <si>
    <t>红卡等级</t>
  </si>
  <si>
    <t>雷震子</t>
  </si>
  <si>
    <t>关羽</t>
  </si>
  <si>
    <t>东方不败</t>
  </si>
  <si>
    <t>1橙</t>
  </si>
  <si>
    <t>镭射眼</t>
  </si>
  <si>
    <t>亚瑟</t>
  </si>
  <si>
    <t>2橙</t>
  </si>
  <si>
    <t>蜘蛛女王</t>
  </si>
  <si>
    <t>3橙</t>
  </si>
  <si>
    <t>唐小僧</t>
  </si>
  <si>
    <t>4橙</t>
  </si>
  <si>
    <t>诸葛亮</t>
  </si>
  <si>
    <t>5橙</t>
  </si>
  <si>
    <t>后羿</t>
  </si>
  <si>
    <t>海拉</t>
  </si>
  <si>
    <t>白蛇</t>
  </si>
  <si>
    <t>女娲</t>
  </si>
  <si>
    <t>1红</t>
  </si>
  <si>
    <t>2红</t>
  </si>
  <si>
    <t>3红</t>
  </si>
  <si>
    <t>符文预期</t>
  </si>
  <si>
    <t>宝石总产</t>
  </si>
  <si>
    <t>宝石数量</t>
  </si>
  <si>
    <t>合成消耗/白</t>
  </si>
  <si>
    <t>属性对关卡贡献预期</t>
  </si>
  <si>
    <t>1、角色基础面板以第十关为基础，后续每关释放7%给各个系统</t>
  </si>
  <si>
    <t>#偏泛用户</t>
  </si>
  <si>
    <t>#梦灵易达成，后续转向符文</t>
  </si>
  <si>
    <t>#外观为主</t>
  </si>
  <si>
    <t>额外20%</t>
  </si>
  <si>
    <t>主要内容</t>
  </si>
  <si>
    <t>宠物成长</t>
  </si>
  <si>
    <t>赛季养成</t>
  </si>
  <si>
    <t>梦灵+装备</t>
  </si>
  <si>
    <t>梦灵周期</t>
  </si>
  <si>
    <t>符文周期</t>
  </si>
  <si>
    <t>宠物周期</t>
  </si>
  <si>
    <t>清仓甩卖</t>
  </si>
  <si>
    <t>2、以当前版本的七天双卡玩家为例，梦灵系统在当前版本上的占比最高</t>
  </si>
  <si>
    <t>系统名</t>
  </si>
  <si>
    <t>养成玩法</t>
  </si>
  <si>
    <t>标准模板(10关)</t>
  </si>
  <si>
    <t>属性贡献(七天)</t>
  </si>
  <si>
    <t>关卡贡献</t>
  </si>
  <si>
    <t>玩法地位</t>
  </si>
  <si>
    <t>装备系统</t>
  </si>
  <si>
    <t>装备攻击</t>
  </si>
  <si>
    <t>装备词条</t>
  </si>
  <si>
    <t>梦灵系统</t>
  </si>
  <si>
    <t>主技能倍率</t>
  </si>
  <si>
    <t>升阶系数</t>
  </si>
  <si>
    <t>皮肤倍率</t>
  </si>
  <si>
    <t>符文系统</t>
  </si>
  <si>
    <t>特殊符文</t>
  </si>
  <si>
    <t>体系增伤</t>
  </si>
  <si>
    <t>宠物系统</t>
  </si>
  <si>
    <t>宠物升级</t>
  </si>
  <si>
    <t>属性计算细节</t>
  </si>
  <si>
    <t>符文规划</t>
  </si>
  <si>
    <t>共六个符文乘区，每个独立乘区都是可稀释的衰减</t>
  </si>
  <si>
    <t>1、梦灵增伤=&gt;满血增伤/残血增伤</t>
  </si>
  <si>
    <t>2、肉盾增伤=&gt;精英增伤</t>
  </si>
  <si>
    <t>3、专属：一大哥+一小弟</t>
  </si>
  <si>
    <t>4、符文最终增伤，确保不稀释，但是上限=5，国王（收益低）=&gt;词条</t>
  </si>
  <si>
    <t>5、暴击收益最稳定，会随着图鉴不断提升收益</t>
  </si>
  <si>
    <t>6、职业+体系增伤</t>
  </si>
  <si>
    <t>每关成长</t>
  </si>
  <si>
    <t>宠物</t>
  </si>
  <si>
    <t>宠物升阶</t>
  </si>
  <si>
    <t>宠物主动技</t>
  </si>
  <si>
    <t>宠物被动技</t>
  </si>
  <si>
    <t>基础模板(10关)</t>
  </si>
  <si>
    <t>标准模板(3天)</t>
  </si>
  <si>
    <t>增量2</t>
  </si>
  <si>
    <t>战力因子</t>
  </si>
  <si>
    <t>期望关卡</t>
  </si>
  <si>
    <t>养成地位</t>
  </si>
  <si>
    <t>单关成长预期</t>
  </si>
  <si>
    <t>标准模板(7天)</t>
  </si>
  <si>
    <t>标准模板(7天小R)</t>
  </si>
  <si>
    <t>标准模板(14天)</t>
  </si>
  <si>
    <t>标准模板(30天)</t>
  </si>
  <si>
    <t>标准模板(60天)</t>
  </si>
  <si>
    <t>30留/15留</t>
  </si>
  <si>
    <t>梦境</t>
  </si>
  <si>
    <t>星途</t>
  </si>
  <si>
    <t>规划模块</t>
  </si>
  <si>
    <t>一、解决什么问题</t>
  </si>
  <si>
    <t>提供稳定长线模型预期</t>
  </si>
  <si>
    <t>#肉盾增伤验证</t>
  </si>
  <si>
    <t>大类</t>
  </si>
  <si>
    <t>模块</t>
  </si>
  <si>
    <t>性质</t>
  </si>
  <si>
    <t>商业化性质</t>
  </si>
  <si>
    <t>养成预期</t>
  </si>
  <si>
    <t>膨胀周期</t>
  </si>
  <si>
    <t>验证类型</t>
  </si>
  <si>
    <t>极限关卡</t>
  </si>
  <si>
    <t>列5</t>
  </si>
  <si>
    <t>分层体验</t>
  </si>
  <si>
    <t>列6</t>
  </si>
  <si>
    <t>列7</t>
  </si>
  <si>
    <t>列8</t>
  </si>
  <si>
    <t>基础模块1</t>
  </si>
  <si>
    <t>本体+强化+洗练</t>
  </si>
  <si>
    <t>会迭代，不适合投入超额付费</t>
  </si>
  <si>
    <t>无商业化</t>
  </si>
  <si>
    <t>每天100攻击+符文</t>
  </si>
  <si>
    <t>60天</t>
  </si>
  <si>
    <t>强验证</t>
  </si>
  <si>
    <t>每个周期局外拓展10关</t>
  </si>
  <si>
    <t>基础模块2</t>
  </si>
  <si>
    <t>梦灵</t>
  </si>
  <si>
    <t>梦灵本体+升级</t>
  </si>
  <si>
    <t>会迭代，不适合投入超额付费，品质付费保留爆伤收益</t>
  </si>
  <si>
    <t>弱商业化，强反馈</t>
  </si>
  <si>
    <t>单梦灵25级极限</t>
  </si>
  <si>
    <t>每个周期局外拓展20关</t>
  </si>
  <si>
    <t>迭代模块1</t>
  </si>
  <si>
    <t>符文洗练</t>
  </si>
  <si>
    <t>符文基础，提供洗练机会</t>
  </si>
  <si>
    <t>强商业化，弱反馈</t>
  </si>
  <si>
    <t>弱验证</t>
  </si>
  <si>
    <t>每个周期局外拓展80关</t>
  </si>
  <si>
    <t>非R3周期养60%,超R单周期养满,60天拓新系统</t>
  </si>
  <si>
    <t>迭代模块2</t>
  </si>
  <si>
    <t>秘宝</t>
  </si>
  <si>
    <t>迭代模块3</t>
  </si>
  <si>
    <t>主角皮肤</t>
  </si>
  <si>
    <t>皮肤本体+升星</t>
  </si>
  <si>
    <t>会迭代，跟关卡稀释，皮肤付费后保留攻击收益</t>
  </si>
  <si>
    <t>30天</t>
  </si>
  <si>
    <t>每个周期局外拓展0</t>
  </si>
  <si>
    <t>迭代模块4</t>
  </si>
  <si>
    <t>二、实现逻辑</t>
  </si>
  <si>
    <t>装备模块</t>
  </si>
  <si>
    <t>前期靠战力提升，后期靠符文装、图腾装等洗练词条撑起来关卡数稳定</t>
  </si>
  <si>
    <t>梦灵模块</t>
  </si>
  <si>
    <t>梦灵品质</t>
  </si>
  <si>
    <t>梦灵倍率</t>
  </si>
  <si>
    <t>等级成长</t>
  </si>
  <si>
    <t>初始成长</t>
  </si>
  <si>
    <t>梦灵品质：60天拓展一个品质（如蔚蓝哥斯拉间隔哪吒60天视作不同品质）</t>
  </si>
  <si>
    <t>梦灵倍率：梦灵初始倍率大量膨胀，活动付费把梦灵推到10级，10级新品质高于旧品质梦灵25级强度。</t>
  </si>
  <si>
    <t>梦灵等级成长：作为梦灵基础成长线，锚定10%的成长作为标准，20级时提升1级依旧有半关的体验</t>
  </si>
  <si>
    <t>强验证：每个版本给关卡带入梦灵新系数（非该梦灵预期更难打过关卡）</t>
  </si>
  <si>
    <t>符文模块</t>
  </si>
  <si>
    <t>符文洗练通过性价比控制，低档次符文极限推关约100关</t>
  </si>
  <si>
    <t>高档次符文性价比高于锚定50000钻石20%成长的预期</t>
  </si>
  <si>
    <t>单关成长</t>
  </si>
  <si>
    <t>玩家层级</t>
  </si>
  <si>
    <t>锚定体验</t>
  </si>
  <si>
    <t>单关标准（钻石）</t>
  </si>
  <si>
    <t>预期价格（钻石）</t>
  </si>
  <si>
    <t>单关RMB</t>
  </si>
  <si>
    <t>实际上这里砖比都是1：100</t>
  </si>
  <si>
    <t>类型</t>
  </si>
  <si>
    <t>皮肤品质</t>
  </si>
  <si>
    <t>门槛强度</t>
  </si>
  <si>
    <t>白板数值</t>
  </si>
  <si>
    <t>回收价</t>
  </si>
  <si>
    <t>新回收价</t>
  </si>
  <si>
    <t>单关定价</t>
  </si>
  <si>
    <t>用户</t>
  </si>
  <si>
    <t>每点攻击价格</t>
  </si>
  <si>
    <t>每点倍率价格</t>
  </si>
  <si>
    <t>列2</t>
  </si>
  <si>
    <t>列12</t>
  </si>
  <si>
    <t>梦灵皮肤</t>
  </si>
  <si>
    <t>皮肤倍率不保值，攻击做保值</t>
  </si>
  <si>
    <t>秘宝皮肤</t>
  </si>
  <si>
    <t>适用场景不同，价值折中</t>
  </si>
  <si>
    <t>外观保值，周期更长</t>
  </si>
  <si>
    <t>主角头饰/脸饰</t>
  </si>
  <si>
    <t>主角背饰</t>
  </si>
  <si>
    <t>梦灵成长和锚定</t>
  </si>
  <si>
    <t>锚定等级反馈</t>
  </si>
  <si>
    <t>梦灵单日等级成长</t>
  </si>
  <si>
    <t>衰减</t>
  </si>
  <si>
    <t>加速</t>
  </si>
  <si>
    <t>初始</t>
  </si>
  <si>
    <t>数值成长</t>
  </si>
  <si>
    <t>红1</t>
  </si>
  <si>
    <t>红2</t>
  </si>
  <si>
    <t>粉1</t>
  </si>
  <si>
    <t>粉2</t>
  </si>
  <si>
    <t>彩1</t>
  </si>
  <si>
    <t>彩2</t>
  </si>
  <si>
    <t>彩3</t>
  </si>
  <si>
    <t>彩4</t>
  </si>
  <si>
    <t>彩5</t>
  </si>
  <si>
    <t>彩6</t>
  </si>
  <si>
    <t>彩7</t>
  </si>
  <si>
    <t>彩8</t>
  </si>
  <si>
    <t>彩9</t>
  </si>
  <si>
    <t>彩10</t>
  </si>
  <si>
    <t>彩11</t>
  </si>
  <si>
    <t>彩12</t>
  </si>
  <si>
    <t>彩13</t>
  </si>
  <si>
    <t>符文本体去控制速率上限，符文洗练去控制成长性价比</t>
  </si>
  <si>
    <t>增幅</t>
  </si>
  <si>
    <t>价格/钻石</t>
  </si>
  <si>
    <t>档次</t>
  </si>
  <si>
    <t>上限数量</t>
  </si>
  <si>
    <t>合成数量</t>
  </si>
  <si>
    <t>价值</t>
  </si>
  <si>
    <t>权重</t>
  </si>
  <si>
    <t>30~60</t>
  </si>
  <si>
    <t>用户层级</t>
  </si>
  <si>
    <t>符文付费成长</t>
  </si>
  <si>
    <t>符文关卡贡献</t>
  </si>
  <si>
    <t>洗练产出</t>
  </si>
  <si>
    <t>本体产出</t>
  </si>
  <si>
    <t>偏赛季感觉，直接能拿最高品质卡</t>
  </si>
  <si>
    <t>基础成长汇总</t>
  </si>
  <si>
    <t>梦灵成长(基础)</t>
  </si>
  <si>
    <t>梦灵参数</t>
  </si>
  <si>
    <t>关卡预期</t>
  </si>
  <si>
    <t>基础关卡</t>
  </si>
  <si>
    <t>免费产出</t>
  </si>
  <si>
    <t>基础关卡成长</t>
  </si>
  <si>
    <t>总装备</t>
  </si>
  <si>
    <t>装备贡献</t>
  </si>
  <si>
    <t>攻击成长</t>
  </si>
  <si>
    <t>总梦灵</t>
  </si>
  <si>
    <t>梦灵贡献</t>
  </si>
  <si>
    <t>主技能</t>
  </si>
  <si>
    <t>预期等级</t>
  </si>
  <si>
    <t>达成率</t>
  </si>
  <si>
    <t>符文关卡数</t>
  </si>
  <si>
    <t>符文总倍率</t>
  </si>
  <si>
    <t>品质系数</t>
  </si>
  <si>
    <t>符文数量限制</t>
  </si>
  <si>
    <t>符文总产</t>
  </si>
  <si>
    <t>1~2档符文</t>
  </si>
  <si>
    <t>3档符文</t>
  </si>
  <si>
    <t>4档符文</t>
  </si>
  <si>
    <t>5档符文</t>
  </si>
  <si>
    <t>6档符文</t>
  </si>
  <si>
    <t>秘宝关卡</t>
  </si>
  <si>
    <t>列3</t>
  </si>
  <si>
    <t>新系统1</t>
  </si>
  <si>
    <t>新系统2</t>
  </si>
  <si>
    <t>新系统3</t>
  </si>
  <si>
    <t>新系统4</t>
  </si>
  <si>
    <t>新系统5</t>
  </si>
  <si>
    <t>新系统12</t>
  </si>
  <si>
    <t>新系统22</t>
  </si>
  <si>
    <t>新系统32</t>
  </si>
  <si>
    <t>新系统42</t>
  </si>
  <si>
    <t>新系统52</t>
  </si>
  <si>
    <t>充值金额</t>
  </si>
  <si>
    <t>钻石价值</t>
  </si>
  <si>
    <t>A系统</t>
  </si>
  <si>
    <t>B系统</t>
  </si>
  <si>
    <t>5万块钱</t>
  </si>
  <si>
    <t>10万</t>
  </si>
  <si>
    <t>a</t>
  </si>
  <si>
    <t>bn</t>
  </si>
  <si>
    <t>c</t>
  </si>
  <si>
    <t>档次收益</t>
  </si>
  <si>
    <t>玩法规划</t>
  </si>
  <si>
    <t>日常为标准产出，限次对标新手期的核心步长产出</t>
  </si>
  <si>
    <t>所属模块</t>
  </si>
  <si>
    <t>玩法名</t>
  </si>
  <si>
    <t>开启时间</t>
  </si>
  <si>
    <t>功能定位</t>
  </si>
  <si>
    <t>核心产出</t>
  </si>
  <si>
    <t>产出定位</t>
  </si>
  <si>
    <t>长周期占比</t>
  </si>
  <si>
    <t>分层方式</t>
  </si>
  <si>
    <t>卡牌PVE</t>
  </si>
  <si>
    <t>主线推图</t>
  </si>
  <si>
    <t>多英雄练度验证</t>
  </si>
  <si>
    <t>（一次性投放）</t>
  </si>
  <si>
    <t>速率+能力</t>
  </si>
  <si>
    <t>卡牌PVP</t>
  </si>
  <si>
    <t>情绪净化_单人</t>
  </si>
  <si>
    <t>第五关</t>
  </si>
  <si>
    <t>弱PVP冲榜</t>
  </si>
  <si>
    <t>招募券、金币</t>
  </si>
  <si>
    <t>卡牌GVE</t>
  </si>
  <si>
    <t>梦域巡航</t>
  </si>
  <si>
    <t>第十关</t>
  </si>
  <si>
    <t>最强一队验证</t>
  </si>
  <si>
    <t>卡牌GVG</t>
  </si>
  <si>
    <t>情绪净化_双人</t>
  </si>
  <si>
    <t>强GVG冲榜</t>
  </si>
  <si>
    <t>任务</t>
  </si>
  <si>
    <t>日常/周常</t>
  </si>
  <si>
    <t>日常行为的引导</t>
  </si>
  <si>
    <t>无</t>
  </si>
  <si>
    <t>商店</t>
  </si>
  <si>
    <t>每日商店</t>
  </si>
  <si>
    <t>金币限量兑换高性价比</t>
  </si>
  <si>
    <t>常规商业化</t>
  </si>
  <si>
    <t>日·周·月礼包</t>
  </si>
  <si>
    <t>中小R高性价比礼包</t>
  </si>
  <si>
    <t>招募券、宝石</t>
  </si>
  <si>
    <t>核心活动</t>
  </si>
  <si>
    <t>开服活动</t>
  </si>
  <si>
    <t>七日目标</t>
  </si>
  <si>
    <t>英雄、宝石</t>
  </si>
  <si>
    <t>玩法产出</t>
  </si>
  <si>
    <t>#限次为前期控制步长的核心数据</t>
  </si>
  <si>
    <t>货币</t>
  </si>
  <si>
    <t>产出途径</t>
  </si>
  <si>
    <t>玩法次数</t>
  </si>
  <si>
    <t>招募券</t>
  </si>
  <si>
    <t>高级招募</t>
  </si>
  <si>
    <t>英雄碎片</t>
  </si>
  <si>
    <t>英雄经验</t>
  </si>
  <si>
    <t>装备本体</t>
  </si>
  <si>
    <t>装备图纸</t>
  </si>
  <si>
    <t>装备洗练石</t>
  </si>
  <si>
    <t>宝石本体</t>
  </si>
  <si>
    <t>宝石锤</t>
  </si>
  <si>
    <t>高级宝石锤</t>
  </si>
  <si>
    <t>精灵木</t>
  </si>
  <si>
    <t>宝石洗练石</t>
  </si>
  <si>
    <t>天赋石</t>
  </si>
  <si>
    <t>高级天赋石</t>
  </si>
  <si>
    <t>加速券</t>
  </si>
  <si>
    <t>金币</t>
  </si>
  <si>
    <t>星珀</t>
  </si>
  <si>
    <t>卡牌_PVE</t>
  </si>
  <si>
    <t>首通奖励</t>
  </si>
  <si>
    <t>限次</t>
  </si>
  <si>
    <t>宝箱奖励</t>
  </si>
  <si>
    <t>快速巡演/通关奖励</t>
  </si>
  <si>
    <t>日常</t>
  </si>
  <si>
    <t>填充</t>
  </si>
  <si>
    <t>日常*2</t>
  </si>
  <si>
    <t>日常*5</t>
  </si>
  <si>
    <t>一次性</t>
  </si>
  <si>
    <t>收获人气（挂机）</t>
  </si>
  <si>
    <t>日常*4</t>
  </si>
  <si>
    <t>达成奖励</t>
  </si>
  <si>
    <t>日常*20</t>
  </si>
  <si>
    <t>排行奖励</t>
  </si>
  <si>
    <t>周常</t>
  </si>
  <si>
    <t>通关奖励</t>
  </si>
  <si>
    <t>日常*1</t>
  </si>
  <si>
    <t>日常*10</t>
  </si>
  <si>
    <t>协助奖励</t>
  </si>
  <si>
    <t>每周奖励</t>
  </si>
  <si>
    <t>周达标*300</t>
  </si>
  <si>
    <t>成就奖励</t>
  </si>
  <si>
    <t>卡牌_GVG</t>
  </si>
  <si>
    <t>周常*20</t>
  </si>
  <si>
    <t>周常*4</t>
  </si>
  <si>
    <t>周常*5</t>
  </si>
  <si>
    <t>周常*12</t>
  </si>
  <si>
    <t>周常*300</t>
  </si>
  <si>
    <t>周常*50</t>
  </si>
  <si>
    <t>氛围小游戏</t>
  </si>
  <si>
    <t>任务系统</t>
  </si>
  <si>
    <t>日常任务</t>
  </si>
  <si>
    <t>日常*100</t>
  </si>
  <si>
    <t>周常任务</t>
  </si>
  <si>
    <t>周常*2</t>
  </si>
  <si>
    <t>周常*6</t>
  </si>
  <si>
    <t>周常*200</t>
  </si>
  <si>
    <t>联盟社交</t>
  </si>
  <si>
    <t>联盟帮助</t>
  </si>
  <si>
    <t>联盟商店</t>
  </si>
  <si>
    <t>抽卡（招募）</t>
  </si>
  <si>
    <t>英雄招募</t>
  </si>
  <si>
    <t>寻宝（图腾）</t>
  </si>
  <si>
    <t>图腾寻宝</t>
  </si>
  <si>
    <t>章节礼包</t>
  </si>
  <si>
    <t>月卡</t>
  </si>
  <si>
    <t>特权月卡</t>
  </si>
  <si>
    <t>福利月卡</t>
  </si>
  <si>
    <t>战令</t>
  </si>
  <si>
    <t>普通奖励</t>
  </si>
  <si>
    <t>进阶奖励</t>
  </si>
  <si>
    <t>豪华奖励</t>
  </si>
  <si>
    <t>每周签到</t>
  </si>
  <si>
    <t>豪华签到</t>
  </si>
  <si>
    <t>钻石基金</t>
  </si>
  <si>
    <t>日&amp;周&amp;月礼包</t>
  </si>
  <si>
    <t>每日礼包</t>
  </si>
  <si>
    <t>每周礼包</t>
  </si>
  <si>
    <t>每月礼包</t>
  </si>
  <si>
    <t>月常</t>
  </si>
  <si>
    <t>每日特惠</t>
  </si>
  <si>
    <t>直购奖励</t>
  </si>
  <si>
    <t>每日充值</t>
  </si>
  <si>
    <t>充值奖励</t>
  </si>
  <si>
    <t>充值天数奖励</t>
  </si>
  <si>
    <t>累充豪礼</t>
  </si>
  <si>
    <t>冲刺活动（循环）</t>
  </si>
  <si>
    <t>冲刺目标</t>
  </si>
  <si>
    <t>冲刺排名</t>
  </si>
  <si>
    <t>冲刺礼包</t>
  </si>
  <si>
    <t>冲刺任务</t>
  </si>
  <si>
    <t>祈愿/寻宝</t>
  </si>
  <si>
    <t>祈愿抽奖</t>
  </si>
  <si>
    <t>祈愿任务</t>
  </si>
  <si>
    <t>祈愿礼包</t>
  </si>
  <si>
    <t>英雄试炼</t>
  </si>
  <si>
    <t>等级礼包</t>
  </si>
  <si>
    <t>试炼礼包</t>
  </si>
  <si>
    <t>试炼抽奖</t>
  </si>
  <si>
    <t>七日任务</t>
  </si>
  <si>
    <t>七日达标奖励</t>
  </si>
  <si>
    <t>星火集结（30日签）</t>
  </si>
  <si>
    <t>签到奖励</t>
  </si>
  <si>
    <t>内容释放节奏</t>
  </si>
  <si>
    <t>时间</t>
  </si>
  <si>
    <t>全局养成</t>
  </si>
  <si>
    <t>每日体力产出</t>
  </si>
  <si>
    <t>*</t>
  </si>
  <si>
    <t>当前体力投放，先参考《僵尸》的投放途径，价格待定</t>
  </si>
  <si>
    <t>途径</t>
  </si>
  <si>
    <t>每日次数</t>
  </si>
  <si>
    <t>双月卡</t>
  </si>
  <si>
    <t>单次体力</t>
  </si>
  <si>
    <t>单项体力</t>
  </si>
  <si>
    <t>累计体力</t>
  </si>
  <si>
    <t>钻石价格</t>
  </si>
  <si>
    <t>rmb价格</t>
  </si>
  <si>
    <t>定位</t>
  </si>
  <si>
    <t xml:space="preserve">
汇总说明</t>
  </si>
  <si>
    <t>创号初始</t>
  </si>
  <si>
    <t>全体</t>
  </si>
  <si>
    <t>时间恢复</t>
  </si>
  <si>
    <t>每日广告</t>
  </si>
  <si>
    <t>食堂奖励</t>
  </si>
  <si>
    <t>日礼包免费</t>
  </si>
  <si>
    <t>月卡福利</t>
  </si>
  <si>
    <t>每日特惠礼包1</t>
  </si>
  <si>
    <t>预留给小R</t>
  </si>
  <si>
    <t>每日特惠礼包2</t>
  </si>
  <si>
    <t>每日特惠礼包3</t>
  </si>
  <si>
    <t>日礼包购买</t>
  </si>
  <si>
    <t>周礼包购买</t>
  </si>
  <si>
    <t>每周1次</t>
  </si>
  <si>
    <t>宝石购买</t>
  </si>
  <si>
    <t>每日体力消耗</t>
  </si>
  <si>
    <t>月卡党的扫荡效率提升30%</t>
  </si>
  <si>
    <t>点数</t>
  </si>
  <si>
    <t>主线通关</t>
  </si>
  <si>
    <t>10</t>
  </si>
  <si>
    <t>扫荡【体力】</t>
  </si>
  <si>
    <t>扫荡【月卡】</t>
  </si>
  <si>
    <t>无限</t>
  </si>
  <si>
    <t>精英副本</t>
  </si>
  <si>
    <t>20</t>
  </si>
  <si>
    <t>具体天数内容</t>
  </si>
  <si>
    <t>等级差值</t>
  </si>
  <si>
    <t>玩家等级数值取整</t>
  </si>
  <si>
    <t>宝石数</t>
  </si>
  <si>
    <t>商业化框架</t>
  </si>
  <si>
    <t>统一定义</t>
  </si>
  <si>
    <t>#单赛季目标建立按照60天去做</t>
  </si>
  <si>
    <t>#目标坑深根据预设追求去计算，如梦灵单赛季养成标准为双卡30级</t>
  </si>
  <si>
    <t>系统规划</t>
  </si>
  <si>
    <t>投放路径及占比</t>
  </si>
  <si>
    <t>目标坑深（钻石）</t>
  </si>
  <si>
    <t>单个坑深（钻石）</t>
  </si>
  <si>
    <t>养成周期（天数）</t>
  </si>
  <si>
    <t>每日产出（钻石）</t>
  </si>
  <si>
    <t>目标用户</t>
  </si>
  <si>
    <t>付费比重</t>
  </si>
  <si>
    <t>养成深度</t>
  </si>
  <si>
    <t>养成策略</t>
  </si>
  <si>
    <t>迭代方式</t>
  </si>
  <si>
    <t>针对付费群体</t>
  </si>
  <si>
    <t>梦灵碎片</t>
  </si>
  <si>
    <t>30级*21个</t>
  </si>
  <si>
    <t>1、各职业养成前2品质的梦灵，以两英雄构筑一个队伍
2、有余力养成后续队伍</t>
  </si>
  <si>
    <t>横向迭代</t>
  </si>
  <si>
    <t>非小R只能获取系统赠送的低品
中大R追求所有英雄</t>
  </si>
  <si>
    <t>梦灵经验</t>
  </si>
  <si>
    <t>1、单赛季产出2*6名角色30级
2、多余资源给老英雄进行稀释</t>
  </si>
  <si>
    <t>纵向迭代</t>
  </si>
  <si>
    <t>付费活跃型
严格控制产出量</t>
  </si>
  <si>
    <t>主角</t>
  </si>
  <si>
    <t>90级</t>
  </si>
  <si>
    <t>1、纯活跃产出，少量投放在必买礼包</t>
  </si>
  <si>
    <t>装备洗练</t>
  </si>
  <si>
    <t>符文本体</t>
  </si>
  <si>
    <t>大R一身红宝石+一个彩，非R一身橙</t>
  </si>
  <si>
    <t>大R单赛季1个彩色5档，2个彩色4档
红品3个四档、12个3档、60个2档</t>
  </si>
  <si>
    <t>基因升级</t>
  </si>
  <si>
    <t>#暂时没算时间加速材料的投放</t>
  </si>
  <si>
    <t>目标坑深（RMB）</t>
  </si>
  <si>
    <t>每日产出RMB</t>
  </si>
  <si>
    <t>单关所需RMB</t>
  </si>
  <si>
    <t>阶段</t>
  </si>
  <si>
    <t>性价比</t>
  </si>
  <si>
    <t>上限关卡数</t>
  </si>
  <si>
    <t>梦灵升级</t>
  </si>
  <si>
    <t>紫色</t>
  </si>
  <si>
    <t>10关</t>
  </si>
  <si>
    <t>1000钻石</t>
  </si>
  <si>
    <t>橙色</t>
  </si>
  <si>
    <t>20关</t>
  </si>
  <si>
    <t>红色</t>
  </si>
  <si>
    <t>50关</t>
  </si>
  <si>
    <t>紫色梦里</t>
  </si>
  <si>
    <t>100=1关</t>
  </si>
  <si>
    <t>橙色梦里</t>
  </si>
  <si>
    <t>500=1关</t>
  </si>
  <si>
    <t>2关</t>
  </si>
  <si>
    <t>一档阶段</t>
  </si>
  <si>
    <t>总需求</t>
  </si>
  <si>
    <t>关键道具定价</t>
  </si>
  <si>
    <t>主要投放途径</t>
  </si>
  <si>
    <t>序号</t>
  </si>
  <si>
    <t>道具ID</t>
  </si>
  <si>
    <t>道具名称</t>
  </si>
  <si>
    <t>类别</t>
  </si>
  <si>
    <t>RMB售价</t>
  </si>
  <si>
    <t>途径1</t>
  </si>
  <si>
    <t>途径2</t>
  </si>
  <si>
    <t>标准折扣</t>
  </si>
  <si>
    <t>备注</t>
  </si>
  <si>
    <t>整体思路</t>
  </si>
  <si>
    <t>钻石</t>
  </si>
  <si>
    <t>货币类</t>
  </si>
  <si>
    <t>任务/成就/主线三星</t>
  </si>
  <si>
    <t>充值</t>
  </si>
  <si>
    <t>做各阶层的能力阶梯</t>
  </si>
  <si>
    <t>体力</t>
  </si>
  <si>
    <t>快捷购买</t>
  </si>
  <si>
    <t>日周月商店</t>
  </si>
  <si>
    <t>排行冲刺</t>
  </si>
  <si>
    <t>做中R的付费质感（前期中R）</t>
  </si>
  <si>
    <t>战令宝箱</t>
  </si>
  <si>
    <t>每日特惠宝箱</t>
  </si>
  <si>
    <t>咩菲特的雕像</t>
  </si>
  <si>
    <t>织梦宝箱</t>
  </si>
  <si>
    <t>筑梦快递箱</t>
  </si>
  <si>
    <t>筑梦典藏箱</t>
  </si>
  <si>
    <t>巡航门票</t>
  </si>
  <si>
    <t>能量特饮2</t>
  </si>
  <si>
    <t>能量特饮</t>
  </si>
  <si>
    <t>梦灵类</t>
  </si>
  <si>
    <t>体力产出</t>
  </si>
  <si>
    <t>做非R的基础体验</t>
  </si>
  <si>
    <t>梦境招募券</t>
  </si>
  <si>
    <t>情绪净化/主线任务</t>
  </si>
  <si>
    <t>商店购买</t>
  </si>
  <si>
    <t>做各阶层的能力阶梯（前期质变）</t>
  </si>
  <si>
    <t>梦愿水晶</t>
  </si>
  <si>
    <t>招募累计</t>
  </si>
  <si>
    <t>心愿招募</t>
  </si>
  <si>
    <t>神灯</t>
  </si>
  <si>
    <t>限定招募</t>
  </si>
  <si>
    <t>做大R的付费边界（后期质变）</t>
  </si>
  <si>
    <t>稀有梦灵</t>
  </si>
  <si>
    <t>史诗梦灵</t>
  </si>
  <si>
    <t>传说梦灵</t>
  </si>
  <si>
    <t>神话梦灵</t>
  </si>
  <si>
    <t>彩虹梦灵</t>
  </si>
  <si>
    <t>稀有梦灵碎片</t>
  </si>
  <si>
    <t>史诗梦灵碎片</t>
  </si>
  <si>
    <t>传说梦灵碎片</t>
  </si>
  <si>
    <t>神话梦灵碎片</t>
  </si>
  <si>
    <t>彩虹梦灵碎片</t>
  </si>
  <si>
    <t>公会贡献</t>
  </si>
  <si>
    <t>转运石</t>
  </si>
  <si>
    <t>友情值</t>
  </si>
  <si>
    <t>装备强化书</t>
  </si>
  <si>
    <t>装备类</t>
  </si>
  <si>
    <t>做非R长线活跃养成</t>
  </si>
  <si>
    <t>锻造晶石</t>
  </si>
  <si>
    <t>主线装备箱</t>
  </si>
  <si>
    <t>队长大箱子</t>
  </si>
  <si>
    <t>队长小箱子</t>
  </si>
  <si>
    <t>随机普通装备</t>
  </si>
  <si>
    <t>随机优秀装备</t>
  </si>
  <si>
    <t>随机稀有装备</t>
  </si>
  <si>
    <t>随机史诗装备</t>
  </si>
  <si>
    <t>随机传说装备</t>
  </si>
  <si>
    <t>随机神话装备</t>
  </si>
  <si>
    <t>随机创世装备</t>
  </si>
  <si>
    <t>初愿摇杆</t>
  </si>
  <si>
    <t>宝石类</t>
  </si>
  <si>
    <t>宝石低抽</t>
  </si>
  <si>
    <t>秘藏摇杆</t>
  </si>
  <si>
    <t>宝石高抽</t>
  </si>
  <si>
    <t>符引结晶</t>
  </si>
  <si>
    <t>低级洗练石</t>
  </si>
  <si>
    <t>幻梦晶核</t>
  </si>
  <si>
    <t>高级洗练石</t>
  </si>
  <si>
    <t>做中R的付费质感</t>
  </si>
  <si>
    <t>普通符文</t>
  </si>
  <si>
    <t>白宝石</t>
  </si>
  <si>
    <t>优秀符文</t>
  </si>
  <si>
    <t>绿宝石</t>
  </si>
  <si>
    <t>稀有符文</t>
  </si>
  <si>
    <t>蓝宝石</t>
  </si>
  <si>
    <t>史诗符文</t>
  </si>
  <si>
    <t>紫宝石</t>
  </si>
  <si>
    <t>传说符文</t>
  </si>
  <si>
    <t>橙宝石</t>
  </si>
  <si>
    <t>神话符文</t>
  </si>
  <si>
    <t>红宝石</t>
  </si>
  <si>
    <t>做大R的付费质感</t>
  </si>
  <si>
    <t>创世符文</t>
  </si>
  <si>
    <t>彩宝石</t>
  </si>
  <si>
    <t>做大R的付费边界</t>
  </si>
  <si>
    <t>符文宝箱</t>
  </si>
  <si>
    <t>织梦微尘</t>
  </si>
  <si>
    <t>基因类</t>
  </si>
  <si>
    <t>基因低级材料</t>
  </si>
  <si>
    <t>潜能棱晶</t>
  </si>
  <si>
    <t>主线三星</t>
  </si>
  <si>
    <t>基因高级材料</t>
  </si>
  <si>
    <t>加速沙漏</t>
  </si>
  <si>
    <t>通过SS类活动做分层</t>
  </si>
  <si>
    <t>晶石</t>
  </si>
  <si>
    <t>秘宝类</t>
  </si>
  <si>
    <t>公会活动</t>
  </si>
  <si>
    <t>竞技场币</t>
  </si>
  <si>
    <t>玩法类</t>
  </si>
  <si>
    <t>boss积分</t>
  </si>
  <si>
    <t>抽奖道具</t>
  </si>
  <si>
    <t>史诗梦灵皮肤</t>
  </si>
  <si>
    <t>传说梦灵皮肤</t>
  </si>
  <si>
    <t>神话梦灵皮肤</t>
  </si>
  <si>
    <t>传说武器皮肤</t>
  </si>
  <si>
    <t>神话武器皮肤</t>
  </si>
  <si>
    <t>史诗时装皮肤</t>
  </si>
  <si>
    <t>传说时装皮肤</t>
  </si>
  <si>
    <t>做中小R的钻销体系+大R的付费隔绝</t>
  </si>
  <si>
    <t>神话时装皮肤</t>
  </si>
  <si>
    <t>传说秘宝皮肤</t>
  </si>
  <si>
    <t>神话秘宝皮肤</t>
  </si>
  <si>
    <t>史诗主角挂件</t>
  </si>
  <si>
    <t>传说主角挂件</t>
  </si>
  <si>
    <t>神话主角挂件</t>
  </si>
  <si>
    <t>赛季资源消耗总价</t>
  </si>
  <si>
    <t>#长线模型后续补内容，优先关注单赛季的体验（2个月），后续拓展新内容</t>
  </si>
  <si>
    <t>#塔防肉鸽感觉关注短期内体验会更合理</t>
  </si>
  <si>
    <t>S0赛季</t>
  </si>
  <si>
    <t>S1赛季</t>
  </si>
  <si>
    <t>S2赛季</t>
  </si>
  <si>
    <t>S3赛季</t>
  </si>
  <si>
    <t>S4赛季</t>
  </si>
  <si>
    <t>S5赛季</t>
  </si>
  <si>
    <t>S6赛季</t>
  </si>
  <si>
    <t>系统</t>
  </si>
  <si>
    <t>养成维度</t>
  </si>
  <si>
    <t>资源类型</t>
  </si>
  <si>
    <t>非付费</t>
  </si>
  <si>
    <t>梦灵升级进度</t>
  </si>
  <si>
    <t>装备升级进度</t>
  </si>
  <si>
    <t>本体</t>
  </si>
  <si>
    <t>符文升级进度</t>
  </si>
  <si>
    <t>洗练</t>
  </si>
  <si>
    <t>基因升级进度</t>
  </si>
  <si>
    <t>细节产出和思路</t>
  </si>
  <si>
    <t>#长周期占比统一按照单赛季计算</t>
  </si>
  <si>
    <t>#后续拓展一下</t>
  </si>
  <si>
    <t>资源分类</t>
  </si>
  <si>
    <t>基本机制</t>
  </si>
  <si>
    <t>价格</t>
  </si>
  <si>
    <t>赛季迭代</t>
  </si>
  <si>
    <t>产出总量</t>
  </si>
  <si>
    <t>单价</t>
  </si>
  <si>
    <t>总价</t>
  </si>
  <si>
    <t>体力线</t>
  </si>
  <si>
    <t>体力扫荡</t>
  </si>
  <si>
    <t>锚定产出</t>
  </si>
  <si>
    <t>不迭代</t>
  </si>
  <si>
    <t>速率分层</t>
  </si>
  <si>
    <t>挑战周本</t>
  </si>
  <si>
    <t>无差异</t>
  </si>
  <si>
    <t>主线首通</t>
  </si>
  <si>
    <t>任务产出</t>
  </si>
  <si>
    <t>战令+特权</t>
  </si>
  <si>
    <t>付费隔离</t>
  </si>
  <si>
    <t>招募</t>
  </si>
  <si>
    <t>活动填充</t>
  </si>
  <si>
    <t>装备分解</t>
  </si>
  <si>
    <t>总和</t>
  </si>
  <si>
    <t>章节礼包(超值)</t>
  </si>
  <si>
    <t>符文线</t>
  </si>
  <si>
    <t>挂机奖励</t>
  </si>
  <si>
    <t>每日周任务</t>
  </si>
  <si>
    <t>情绪净化排行</t>
  </si>
  <si>
    <t>运营填充</t>
  </si>
  <si>
    <t>日月周商店</t>
  </si>
  <si>
    <t>梦灵线</t>
  </si>
  <si>
    <t>挂机收益</t>
  </si>
  <si>
    <t>抽卡副产物</t>
  </si>
  <si>
    <t>情绪净化</t>
  </si>
  <si>
    <t>商店刷新</t>
  </si>
  <si>
    <t>周本成就</t>
  </si>
  <si>
    <t>新服活动</t>
  </si>
  <si>
    <t>分层设计</t>
  </si>
  <si>
    <t>短期内关注单个模块付费，长周期关注循环体验（SS型）</t>
  </si>
  <si>
    <t>分层</t>
  </si>
  <si>
    <t>档位</t>
  </si>
  <si>
    <t>总价($)</t>
  </si>
  <si>
    <t>平均折扣率</t>
  </si>
  <si>
    <t>实际价格</t>
  </si>
  <si>
    <t>日均消费($)</t>
  </si>
  <si>
    <t>特权</t>
  </si>
  <si>
    <t>钻销</t>
  </si>
  <si>
    <t>循环返利</t>
  </si>
  <si>
    <t>首充</t>
  </si>
  <si>
    <t>小月卡</t>
  </si>
  <si>
    <t>大月卡</t>
  </si>
  <si>
    <t>每周周卡</t>
  </si>
  <si>
    <t>基金</t>
  </si>
  <si>
    <t>日/月/周礼包</t>
  </si>
  <si>
    <t>抽奖活动</t>
  </si>
  <si>
    <t>冲榜返钻</t>
  </si>
  <si>
    <t>豹子头</t>
  </si>
  <si>
    <t>首冲玩家</t>
  </si>
  <si>
    <t>仅买小月卡</t>
  </si>
  <si>
    <t>购买双月卡</t>
  </si>
  <si>
    <t>特权买齐</t>
  </si>
  <si>
    <t>追求少量的梦灵</t>
  </si>
  <si>
    <t>追求梦灵模块</t>
  </si>
  <si>
    <t>追求多个养成模块</t>
  </si>
  <si>
    <t>追求全部养成模块</t>
  </si>
  <si>
    <t>追求养成模块
在边界上不付费</t>
  </si>
  <si>
    <t>周期性活动拉满</t>
  </si>
  <si>
    <t>每周礼包拉满</t>
  </si>
  <si>
    <t>每日消费拉满</t>
  </si>
  <si>
    <t>付费内容拉满</t>
  </si>
  <si>
    <t>锚定价值</t>
  </si>
  <si>
    <t>内容</t>
  </si>
  <si>
    <t>数量</t>
  </si>
  <si>
    <t>总价值(钻石)</t>
  </si>
  <si>
    <t>每日产出</t>
  </si>
  <si>
    <t>挂机</t>
  </si>
  <si>
    <t>#锚定每日产出</t>
  </si>
  <si>
    <t>组队副本</t>
  </si>
  <si>
    <t>#队长时收益，队员收益同扫荡</t>
  </si>
  <si>
    <t>组队装备箱</t>
  </si>
  <si>
    <t>#钻销价值锚定用（日月周礼包去锚定）</t>
  </si>
  <si>
    <t>特权性价比</t>
  </si>
  <si>
    <t>玩法产出占比</t>
  </si>
  <si>
    <t>月卡ID</t>
  </si>
  <si>
    <t>月卡类型</t>
  </si>
  <si>
    <t>特权无限次数使用</t>
  </si>
  <si>
    <t>体力上限+20</t>
  </si>
  <si>
    <t>挂机收益+15%</t>
  </si>
  <si>
    <t>梦域巡航门票+2</t>
  </si>
  <si>
    <t>快速扫荡不限次数</t>
  </si>
  <si>
    <t>已通关主线2倍速</t>
  </si>
  <si>
    <t>双月卡额外</t>
  </si>
  <si>
    <t>体力战令</t>
  </si>
  <si>
    <t>主线基金</t>
  </si>
  <si>
    <t>运营活动性价比</t>
  </si>
  <si>
    <t>运营6元</t>
  </si>
  <si>
    <t>运营30元</t>
  </si>
  <si>
    <t>通过商业化框架，确定不同系统养成材料的产销途径与分类</t>
  </si>
  <si>
    <t>设定所有材料的产出基准值、价值、效率天数增量系数</t>
  </si>
  <si>
    <t>基于生命周期天数，在对应天数开启的产出途径材料产出基准值开始算出周期内的每天效率</t>
  </si>
  <si>
    <t>基于产出途径的比例，通过每天效率算出同期次数产出比例对应的材料产量</t>
  </si>
  <si>
    <t>设定相同养成材料在同时期不同养成系统中的消耗比例</t>
  </si>
  <si>
    <t>汇总同时期相同材料的总产销比例</t>
  </si>
  <si>
    <t>以活跃系统的产出作为基础，商业化产出和特权加速按比例算出产出量</t>
  </si>
  <si>
    <t>养成材料产出框架</t>
  </si>
  <si>
    <t>#标红为锚定资源产出，其余产出以锚定产出为基准去计算，调整锚定基准值去调整总产量</t>
  </si>
  <si>
    <t>道具/产出途径</t>
  </si>
  <si>
    <t>价值/宝石</t>
  </si>
  <si>
    <t>产出基准值</t>
  </si>
  <si>
    <t>主线三星奖励</t>
  </si>
  <si>
    <t>扫荡</t>
  </si>
  <si>
    <t>精英副本通关</t>
  </si>
  <si>
    <t>精英副本成就</t>
  </si>
  <si>
    <t>单人挑战波次</t>
  </si>
  <si>
    <t>单人挑战排行</t>
  </si>
  <si>
    <t>双人挑战波次</t>
  </si>
  <si>
    <t>双人挑战排行</t>
  </si>
  <si>
    <t>蓝色梦灵碎片</t>
  </si>
  <si>
    <t>紫色梦灵碎片</t>
  </si>
  <si>
    <t>橙色梦灵碎片</t>
  </si>
  <si>
    <t>突破石</t>
  </si>
  <si>
    <t>梦幻摇杆</t>
  </si>
  <si>
    <t>梦灵皮肤碎片</t>
  </si>
  <si>
    <t>基因罐【待定】</t>
  </si>
  <si>
    <t>加速卡</t>
  </si>
  <si>
    <t>低级洗练材料</t>
  </si>
  <si>
    <t>高级洗练材料</t>
  </si>
  <si>
    <t>白色记忆球</t>
  </si>
  <si>
    <t>绿色记忆球</t>
  </si>
  <si>
    <t>蓝色记忆球</t>
  </si>
  <si>
    <t>紫色记忆球</t>
  </si>
  <si>
    <t>橙色记忆球</t>
  </si>
  <si>
    <t>红色记忆球</t>
  </si>
  <si>
    <t>彩色记忆球</t>
  </si>
  <si>
    <t>记忆球低抽券</t>
  </si>
  <si>
    <t>记忆球高抽券</t>
  </si>
  <si>
    <t>主角武器皮肤碎片</t>
  </si>
  <si>
    <t>主角时装皮肤碎片</t>
  </si>
  <si>
    <t>养成材料消耗框架</t>
  </si>
  <si>
    <t>道具/消耗途径</t>
  </si>
  <si>
    <t>研究所</t>
  </si>
  <si>
    <t>电玩摇杆</t>
  </si>
  <si>
    <t>养成材料日产能</t>
  </si>
  <si>
    <t>*以双卡党体力买满的情况下计算</t>
  </si>
  <si>
    <t>金币日产能</t>
  </si>
  <si>
    <t>能量特饮日产能</t>
  </si>
  <si>
    <t>加速卡日产能</t>
  </si>
  <si>
    <t>金币日小时产能</t>
  </si>
  <si>
    <t>能量特饮日小时产能</t>
  </si>
  <si>
    <t>新ID</t>
  </si>
  <si>
    <t>新指标</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</si>
</sst>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0_ "/>
    <numFmt numFmtId="178" formatCode="0.0%"/>
    <numFmt numFmtId="179" formatCode="0.0_ "/>
    <numFmt numFmtId="180" formatCode="#,##0_ "/>
    <numFmt numFmtId="181" formatCode="0.00_ "/>
    <numFmt numFmtId="182" formatCode="0_);[Red]\(0\)"/>
    <numFmt numFmtId="183" formatCode="[=0]&quot;&quot;;0.0"/>
    <numFmt numFmtId="184" formatCode="[=0]&quot;&quot;;General"/>
    <numFmt numFmtId="185" formatCode="[&lt;0.1]0.0%;0%"/>
    <numFmt numFmtId="186" formatCode="[=0]&quot;&quot;;0%"/>
    <numFmt numFmtId="187" formatCode="0.0_);[Red]\(0.0\)"/>
    <numFmt numFmtId="188" formatCode="[=0]&quot;&quot;;0.0%"/>
    <numFmt numFmtId="189" formatCode="0.0000_ "/>
  </numFmts>
  <fonts count="66">
    <font>
      <sz val="10"/>
      <color theme="1"/>
      <name val="等线"/>
      <charset val="134"/>
      <scheme val="minor"/>
    </font>
    <font>
      <b/>
      <sz val="11"/>
      <color theme="0"/>
      <name val="微软雅黑"/>
      <charset val="134"/>
    </font>
    <font>
      <sz val="11"/>
      <color theme="1"/>
      <name val="微软雅黑"/>
      <charset val="134"/>
    </font>
    <font>
      <sz val="10"/>
      <name val="等线"/>
      <charset val="134"/>
      <scheme val="minor"/>
    </font>
    <font>
      <b/>
      <sz val="10"/>
      <name val="等线"/>
      <charset val="134"/>
      <scheme val="minor"/>
    </font>
    <font>
      <b/>
      <sz val="10"/>
      <color rgb="FFFFFFFF"/>
      <name val="等线"/>
      <charset val="134"/>
      <scheme val="minor"/>
    </font>
    <font>
      <sz val="11"/>
      <name val="等线"/>
      <charset val="134"/>
      <scheme val="minor"/>
    </font>
    <font>
      <sz val="10"/>
      <color theme="1"/>
      <name val="微软雅黑"/>
      <charset val="134"/>
    </font>
    <font>
      <sz val="11"/>
      <color rgb="FF000000"/>
      <name val="微软雅黑"/>
      <charset val="134"/>
    </font>
    <font>
      <sz val="11"/>
      <color rgb="FFFF0000"/>
      <name val="微软雅黑"/>
      <charset val="134"/>
    </font>
    <font>
      <sz val="10"/>
      <name val="微软雅黑"/>
      <charset val="134"/>
    </font>
    <font>
      <b/>
      <sz val="10"/>
      <name val="微软雅黑"/>
      <charset val="134"/>
    </font>
    <font>
      <b/>
      <sz val="10"/>
      <color rgb="FFFFFFFF"/>
      <name val="微软雅黑"/>
      <charset val="134"/>
    </font>
    <font>
      <sz val="11"/>
      <name val="微软雅黑"/>
      <charset val="134"/>
    </font>
    <font>
      <b/>
      <sz val="10"/>
      <color theme="9" tint="-0.249977111117893"/>
      <name val="微软雅黑"/>
      <charset val="134"/>
    </font>
    <font>
      <b/>
      <sz val="10"/>
      <color rgb="FFFF0000"/>
      <name val="微软雅黑"/>
      <charset val="134"/>
    </font>
    <font>
      <sz val="12"/>
      <name val="微软雅黑"/>
      <charset val="134"/>
    </font>
    <font>
      <sz val="11"/>
      <color theme="1"/>
      <name val="等线"/>
      <charset val="134"/>
      <scheme val="minor"/>
    </font>
    <font>
      <b/>
      <sz val="10"/>
      <color theme="1"/>
      <name val="微软雅黑"/>
      <charset val="134"/>
    </font>
    <font>
      <b/>
      <sz val="11"/>
      <color rgb="FFFF0000"/>
      <name val="微软雅黑"/>
      <charset val="134"/>
    </font>
    <font>
      <sz val="11"/>
      <color rgb="FFFFFFFF"/>
      <name val="微软雅黑"/>
      <charset val="134"/>
    </font>
    <font>
      <sz val="11"/>
      <name val="宋体"/>
      <charset val="134"/>
    </font>
    <font>
      <b/>
      <sz val="11"/>
      <name val="等线"/>
      <charset val="134"/>
      <scheme val="minor"/>
    </font>
    <font>
      <sz val="12"/>
      <name val="等线"/>
      <charset val="134"/>
      <scheme val="minor"/>
    </font>
    <font>
      <b/>
      <sz val="11"/>
      <name val="宋体"/>
      <charset val="134"/>
    </font>
    <font>
      <b/>
      <sz val="12"/>
      <color rgb="FFFFFFFF"/>
      <name val="等线"/>
      <charset val="134"/>
      <scheme val="minor"/>
    </font>
    <font>
      <b/>
      <sz val="12"/>
      <name val="等线"/>
      <charset val="134"/>
      <scheme val="minor"/>
    </font>
    <font>
      <sz val="10"/>
      <color rgb="FFFF0000"/>
      <name val="微软雅黑"/>
      <charset val="134"/>
    </font>
    <font>
      <b/>
      <sz val="12"/>
      <color theme="0"/>
      <name val="微软雅黑"/>
      <charset val="134"/>
    </font>
    <font>
      <b/>
      <sz val="10"/>
      <color theme="4"/>
      <name val="微软雅黑"/>
      <charset val="134"/>
    </font>
    <font>
      <b/>
      <sz val="10"/>
      <color theme="0"/>
      <name val="微软雅黑"/>
      <charset val="134"/>
    </font>
    <font>
      <b/>
      <sz val="10"/>
      <color theme="9"/>
      <name val="微软雅黑"/>
      <charset val="134"/>
    </font>
    <font>
      <b/>
      <sz val="10"/>
      <color theme="1"/>
      <name val="等线"/>
      <charset val="134"/>
      <scheme val="minor"/>
    </font>
    <font>
      <sz val="10"/>
      <color theme="0"/>
      <name val="等线"/>
      <charset val="134"/>
      <scheme val="minor"/>
    </font>
    <font>
      <b/>
      <sz val="10"/>
      <color rgb="FF000000"/>
      <name val="等线"/>
      <charset val="134"/>
      <scheme val="minor"/>
    </font>
    <font>
      <sz val="10"/>
      <color rgb="FF000000"/>
      <name val="微软雅黑"/>
      <charset val="134"/>
    </font>
    <font>
      <sz val="10"/>
      <color theme="0"/>
      <name val="微软雅黑"/>
      <charset val="134"/>
    </font>
    <font>
      <sz val="10"/>
      <color theme="4" tint="-0.25"/>
      <name val="微软雅黑"/>
      <charset val="134"/>
    </font>
    <font>
      <sz val="10"/>
      <color theme="1"/>
      <name val="等线"/>
      <charset val="134"/>
    </font>
    <font>
      <b/>
      <sz val="11"/>
      <color theme="4"/>
      <name val="微软雅黑"/>
      <charset val="134"/>
    </font>
    <font>
      <b/>
      <sz val="11"/>
      <color theme="7"/>
      <name val="微软雅黑"/>
      <charset val="134"/>
    </font>
    <font>
      <strike/>
      <sz val="10"/>
      <color rgb="FFFF0000"/>
      <name val="微软雅黑"/>
      <charset val="134"/>
    </font>
    <font>
      <strike/>
      <sz val="10"/>
      <color rgb="FF000000"/>
      <name val="微软雅黑"/>
      <charset val="134"/>
    </font>
    <font>
      <sz val="10"/>
      <color rgb="FFFFFFFF"/>
      <name val="微软雅黑"/>
      <charset val="134"/>
    </font>
    <font>
      <sz val="11"/>
      <color rgb="FFF79646"/>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name val="宋体"/>
      <charset val="134"/>
    </font>
    <font>
      <sz val="9"/>
      <name val="宋体"/>
      <charset val="134"/>
    </font>
  </fonts>
  <fills count="63">
    <fill>
      <patternFill patternType="none"/>
    </fill>
    <fill>
      <patternFill patternType="gray125"/>
    </fill>
    <fill>
      <patternFill patternType="solid">
        <fgColor theme="1"/>
        <bgColor indexed="64"/>
      </patternFill>
    </fill>
    <fill>
      <patternFill patternType="solid">
        <fgColor rgb="FF000000"/>
        <bgColor indexed="64"/>
      </patternFill>
    </fill>
    <fill>
      <patternFill patternType="solid">
        <fgColor rgb="FF000000"/>
        <bgColor rgb="FF000000"/>
      </patternFill>
    </fill>
    <fill>
      <patternFill patternType="solid">
        <fgColor rgb="FFFFFFFF"/>
        <bgColor rgb="FF000000"/>
      </patternFill>
    </fill>
    <fill>
      <patternFill patternType="solid">
        <fgColor rgb="FFFFFFFF"/>
        <bgColor indexed="64"/>
      </patternFill>
    </fill>
    <fill>
      <patternFill patternType="solid">
        <fgColor rgb="FFFED4A4"/>
        <bgColor indexed="64"/>
      </patternFill>
    </fill>
    <fill>
      <patternFill patternType="solid">
        <fgColor theme="0" tint="-0.349986266670736"/>
        <bgColor indexed="64"/>
      </patternFill>
    </fill>
    <fill>
      <patternFill patternType="solid">
        <fgColor theme="6"/>
        <bgColor indexed="64"/>
      </patternFill>
    </fill>
    <fill>
      <patternFill patternType="solid">
        <fgColor rgb="FFFFC000"/>
        <bgColor indexed="64"/>
      </patternFill>
    </fill>
    <fill>
      <patternFill patternType="solid">
        <fgColor theme="9" tint="0.799951170384838"/>
        <bgColor indexed="64"/>
      </patternFill>
    </fill>
    <fill>
      <patternFill patternType="solid">
        <fgColor theme="3" tint="0.599993896298105"/>
        <bgColor indexed="64"/>
      </patternFill>
    </fill>
    <fill>
      <patternFill patternType="solid">
        <fgColor rgb="FF92D050"/>
        <bgColor indexed="64"/>
      </patternFill>
    </fill>
    <fill>
      <patternFill patternType="solid">
        <fgColor theme="5" tint="0.599993896298105"/>
        <bgColor indexed="64"/>
      </patternFill>
    </fill>
    <fill>
      <patternFill patternType="solid">
        <fgColor theme="9" tint="0.799920651875362"/>
        <bgColor indexed="64"/>
      </patternFill>
    </fill>
    <fill>
      <patternFill patternType="solid">
        <fgColor theme="9" tint="0.599993896298105"/>
        <bgColor indexed="64"/>
      </patternFill>
    </fill>
    <fill>
      <patternFill patternType="solid">
        <fgColor rgb="FF00B0F0"/>
        <bgColor indexed="64"/>
      </patternFill>
    </fill>
    <fill>
      <patternFill patternType="solid">
        <fgColor theme="5" tint="0.799890133365886"/>
        <bgColor indexed="64"/>
      </patternFill>
    </fill>
    <fill>
      <patternFill patternType="solid">
        <fgColor rgb="FF99CC00"/>
        <bgColor indexed="64"/>
      </patternFill>
    </fill>
    <fill>
      <patternFill patternType="solid">
        <fgColor rgb="FF669900"/>
        <bgColor indexed="64"/>
      </patternFill>
    </fill>
    <fill>
      <patternFill patternType="solid">
        <fgColor rgb="FFFFFF00"/>
        <bgColor indexed="64"/>
      </patternFill>
    </fill>
    <fill>
      <patternFill patternType="solid">
        <fgColor theme="5"/>
        <bgColor theme="5"/>
      </patternFill>
    </fill>
    <fill>
      <patternFill patternType="solid">
        <fgColor theme="7" tint="0.799951170384838"/>
        <bgColor indexed="64"/>
      </patternFill>
    </fill>
    <fill>
      <patternFill patternType="solid">
        <fgColor theme="2" tint="-0.5"/>
        <bgColor indexed="64"/>
      </patternFill>
    </fill>
    <fill>
      <patternFill patternType="solid">
        <fgColor theme="4"/>
        <bgColor theme="4"/>
      </patternFill>
    </fill>
    <fill>
      <patternFill patternType="solid">
        <fgColor theme="9"/>
        <bgColor rgb="FF000000"/>
      </patternFill>
    </fill>
    <fill>
      <patternFill patternType="solid">
        <fgColor rgb="FF5B9BD5"/>
        <bgColor rgb="FF000000"/>
      </patternFill>
    </fill>
    <fill>
      <patternFill patternType="solid">
        <fgColor theme="4" tint="0.799951170384838"/>
        <bgColor indexed="64"/>
      </patternFill>
    </fill>
    <fill>
      <patternFill patternType="solid">
        <fgColor rgb="FFFF0000"/>
        <bgColor indexed="64"/>
      </patternFill>
    </fill>
    <fill>
      <patternFill patternType="solid">
        <fgColor rgb="FFB18791"/>
        <bgColor indexed="64"/>
      </patternFill>
    </fill>
    <fill>
      <patternFill patternType="solid">
        <fgColor rgb="FFE2CBC5"/>
        <bgColor indexed="64"/>
      </patternFill>
    </fill>
    <fill>
      <patternFill patternType="solid">
        <fgColor theme="8" tint="0.799951170384838"/>
        <bgColor indexed="64"/>
      </patternFill>
    </fill>
    <fill>
      <patternFill patternType="solid">
        <fgColor rgb="FFD6D4CA"/>
        <bgColor rgb="FF000000"/>
      </patternFill>
    </fill>
    <fill>
      <patternFill patternType="solid">
        <fgColor rgb="FFD6D4C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74">
    <border>
      <left/>
      <right/>
      <top/>
      <bottom/>
      <diagonal/>
    </border>
    <border>
      <left style="thin">
        <color auto="1"/>
      </left>
      <right style="thin">
        <color auto="1"/>
      </right>
      <top style="thin">
        <color auto="1"/>
      </top>
      <bottom style="thin">
        <color auto="1"/>
      </bottom>
      <diagonal/>
    </border>
    <border>
      <left/>
      <right/>
      <top style="thin">
        <color theme="4" tint="0.399914548173467"/>
      </top>
      <bottom style="thin">
        <color theme="4" tint="0.399914548173467"/>
      </bottom>
      <diagonal/>
    </border>
    <border>
      <left style="thin">
        <color theme="4" tint="0.399914548173467"/>
      </left>
      <right/>
      <top style="thin">
        <color theme="4" tint="0.399914548173467"/>
      </top>
      <bottom style="thin">
        <color theme="4" tint="0.399914548173467"/>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rgb="FF000000"/>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thin">
        <color auto="1"/>
      </bottom>
      <diagonal/>
    </border>
    <border>
      <left/>
      <right style="thin">
        <color auto="1"/>
      </right>
      <top/>
      <bottom style="thin">
        <color auto="1"/>
      </bottom>
      <diagonal/>
    </border>
    <border>
      <left/>
      <right style="thin">
        <color auto="1"/>
      </right>
      <top style="thin">
        <color auto="1"/>
      </top>
      <bottom/>
      <diagonal/>
    </border>
    <border>
      <left style="medium">
        <color auto="1"/>
      </left>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top style="thin">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medium">
        <color auto="1"/>
      </top>
      <bottom/>
      <diagonal/>
    </border>
    <border>
      <left/>
      <right style="thin">
        <color auto="1"/>
      </right>
      <top/>
      <bottom/>
      <diagonal/>
    </border>
    <border>
      <left style="medium">
        <color auto="1"/>
      </left>
      <right style="medium">
        <color auto="1"/>
      </right>
      <top/>
      <bottom/>
      <diagonal/>
    </border>
    <border>
      <left style="thin">
        <color auto="1"/>
      </left>
      <right style="medium">
        <color auto="1"/>
      </right>
      <top style="thin">
        <color auto="1"/>
      </top>
      <bottom/>
      <diagonal/>
    </border>
    <border>
      <left/>
      <right style="thin">
        <color auto="1"/>
      </right>
      <top style="medium">
        <color auto="1"/>
      </top>
      <bottom style="thin">
        <color auto="1"/>
      </bottom>
      <diagonal/>
    </border>
    <border>
      <left style="medium">
        <color auto="1"/>
      </left>
      <right style="medium">
        <color auto="1"/>
      </right>
      <top/>
      <bottom style="medium">
        <color auto="1"/>
      </bottom>
      <diagonal/>
    </border>
    <border>
      <left/>
      <right style="thin">
        <color auto="1"/>
      </right>
      <top style="thin">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rgb="FF000000"/>
      </left>
      <right style="thin">
        <color auto="1"/>
      </right>
      <top style="thin">
        <color rgb="FF000000"/>
      </top>
      <bottom style="thin">
        <color auto="1"/>
      </bottom>
      <diagonal/>
    </border>
    <border>
      <left style="thin">
        <color theme="5"/>
      </left>
      <right/>
      <top style="thin">
        <color theme="5"/>
      </top>
      <bottom style="thin">
        <color theme="5"/>
      </bottom>
      <diagonal/>
    </border>
    <border>
      <left/>
      <right style="thin">
        <color theme="5"/>
      </right>
      <top style="thin">
        <color theme="5"/>
      </top>
      <bottom style="thin">
        <color theme="5"/>
      </bottom>
      <diagonal/>
    </border>
    <border>
      <left style="thin">
        <color auto="1"/>
      </left>
      <right/>
      <top/>
      <bottom style="thin">
        <color auto="1"/>
      </bottom>
      <diagonal/>
    </border>
    <border>
      <left style="thin">
        <color theme="4"/>
      </left>
      <right/>
      <top style="thin">
        <color theme="4"/>
      </top>
      <bottom style="thin">
        <color theme="4" tint="0.399914548173467"/>
      </bottom>
      <diagonal/>
    </border>
    <border>
      <left/>
      <right/>
      <top style="thin">
        <color theme="4"/>
      </top>
      <bottom style="thin">
        <color theme="4" tint="0.399914548173467"/>
      </bottom>
      <diagonal/>
    </border>
    <border>
      <left/>
      <right style="thin">
        <color theme="4"/>
      </right>
      <top style="thin">
        <color theme="4"/>
      </top>
      <bottom style="thin">
        <color theme="4" tint="0.399914548173467"/>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style="thin">
        <color theme="4"/>
      </top>
      <bottom style="thin">
        <color auto="1"/>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7" fillId="0" borderId="0" applyFont="0" applyFill="0" applyBorder="0" applyAlignment="0" applyProtection="0">
      <alignment vertical="center"/>
    </xf>
    <xf numFmtId="44" fontId="17" fillId="0" borderId="0" applyFont="0" applyFill="0" applyBorder="0" applyAlignment="0" applyProtection="0">
      <alignment vertical="center"/>
    </xf>
    <xf numFmtId="9" fontId="7" fillId="0" borderId="0" applyFont="0" applyFill="0" applyBorder="0" applyAlignment="0" applyProtection="0">
      <alignment vertical="center"/>
    </xf>
    <xf numFmtId="41" fontId="17" fillId="0" borderId="0" applyFont="0" applyFill="0" applyBorder="0" applyAlignment="0" applyProtection="0">
      <alignment vertical="center"/>
    </xf>
    <xf numFmtId="42" fontId="17" fillId="0" borderId="0" applyFon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17" fillId="35" borderId="66" applyNumberFormat="0" applyFont="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67" applyNumberFormat="0" applyFill="0" applyAlignment="0" applyProtection="0">
      <alignment vertical="center"/>
    </xf>
    <xf numFmtId="0" fontId="51" fillId="0" borderId="67" applyNumberFormat="0" applyFill="0" applyAlignment="0" applyProtection="0">
      <alignment vertical="center"/>
    </xf>
    <xf numFmtId="0" fontId="52" fillId="0" borderId="68" applyNumberFormat="0" applyFill="0" applyAlignment="0" applyProtection="0">
      <alignment vertical="center"/>
    </xf>
    <xf numFmtId="0" fontId="52" fillId="0" borderId="0" applyNumberFormat="0" applyFill="0" applyBorder="0" applyAlignment="0" applyProtection="0">
      <alignment vertical="center"/>
    </xf>
    <xf numFmtId="0" fontId="53" fillId="36" borderId="69" applyNumberFormat="0" applyAlignment="0" applyProtection="0">
      <alignment vertical="center"/>
    </xf>
    <xf numFmtId="0" fontId="54" fillId="37" borderId="70" applyNumberFormat="0" applyAlignment="0" applyProtection="0">
      <alignment vertical="center"/>
    </xf>
    <xf numFmtId="0" fontId="55" fillId="37" borderId="69" applyNumberFormat="0" applyAlignment="0" applyProtection="0">
      <alignment vertical="center"/>
    </xf>
    <xf numFmtId="0" fontId="56" fillId="38" borderId="71" applyNumberFormat="0" applyAlignment="0" applyProtection="0">
      <alignment vertical="center"/>
    </xf>
    <xf numFmtId="0" fontId="57" fillId="0" borderId="72" applyNumberFormat="0" applyFill="0" applyAlignment="0" applyProtection="0">
      <alignment vertical="center"/>
    </xf>
    <xf numFmtId="0" fontId="58" fillId="0" borderId="73" applyNumberFormat="0" applyFill="0" applyAlignment="0" applyProtection="0">
      <alignment vertical="center"/>
    </xf>
    <xf numFmtId="0" fontId="59" fillId="39" borderId="0" applyNumberFormat="0" applyBorder="0" applyAlignment="0" applyProtection="0">
      <alignment vertical="center"/>
    </xf>
    <xf numFmtId="0" fontId="60" fillId="40" borderId="0" applyNumberFormat="0" applyBorder="0" applyAlignment="0" applyProtection="0">
      <alignment vertical="center"/>
    </xf>
    <xf numFmtId="0" fontId="61" fillId="41" borderId="0" applyNumberFormat="0" applyBorder="0" applyAlignment="0" applyProtection="0">
      <alignment vertical="center"/>
    </xf>
    <xf numFmtId="0" fontId="62" fillId="42" borderId="0" applyNumberFormat="0" applyBorder="0" applyAlignment="0" applyProtection="0">
      <alignment vertical="center"/>
    </xf>
    <xf numFmtId="0" fontId="63" fillId="43" borderId="0" applyNumberFormat="0" applyBorder="0" applyAlignment="0" applyProtection="0">
      <alignment vertical="center"/>
    </xf>
    <xf numFmtId="0" fontId="63" fillId="44" borderId="0" applyNumberFormat="0" applyBorder="0" applyAlignment="0" applyProtection="0">
      <alignment vertical="center"/>
    </xf>
    <xf numFmtId="0" fontId="62" fillId="45" borderId="0" applyNumberFormat="0" applyBorder="0" applyAlignment="0" applyProtection="0">
      <alignment vertical="center"/>
    </xf>
    <xf numFmtId="0" fontId="62" fillId="46" borderId="0" applyNumberFormat="0" applyBorder="0" applyAlignment="0" applyProtection="0">
      <alignment vertical="center"/>
    </xf>
    <xf numFmtId="0" fontId="63" fillId="47" borderId="0" applyNumberFormat="0" applyBorder="0" applyAlignment="0" applyProtection="0">
      <alignment vertical="center"/>
    </xf>
    <xf numFmtId="0" fontId="63" fillId="14" borderId="0" applyNumberFormat="0" applyBorder="0" applyAlignment="0" applyProtection="0">
      <alignment vertical="center"/>
    </xf>
    <xf numFmtId="0" fontId="62" fillId="48" borderId="0" applyNumberFormat="0" applyBorder="0" applyAlignment="0" applyProtection="0">
      <alignment vertical="center"/>
    </xf>
    <xf numFmtId="0" fontId="62" fillId="9" borderId="0" applyNumberFormat="0" applyBorder="0" applyAlignment="0" applyProtection="0">
      <alignment vertical="center"/>
    </xf>
    <xf numFmtId="0" fontId="63" fillId="49" borderId="0" applyNumberFormat="0" applyBorder="0" applyAlignment="0" applyProtection="0">
      <alignment vertical="center"/>
    </xf>
    <xf numFmtId="0" fontId="63" fillId="50" borderId="0" applyNumberFormat="0" applyBorder="0" applyAlignment="0" applyProtection="0">
      <alignment vertical="center"/>
    </xf>
    <xf numFmtId="0" fontId="62" fillId="51" borderId="0" applyNumberFormat="0" applyBorder="0" applyAlignment="0" applyProtection="0">
      <alignment vertical="center"/>
    </xf>
    <xf numFmtId="0" fontId="62" fillId="52" borderId="0" applyNumberFormat="0" applyBorder="0" applyAlignment="0" applyProtection="0">
      <alignment vertical="center"/>
    </xf>
    <xf numFmtId="0" fontId="63" fillId="53" borderId="0" applyNumberFormat="0" applyBorder="0" applyAlignment="0" applyProtection="0">
      <alignment vertical="center"/>
    </xf>
    <xf numFmtId="0" fontId="63" fillId="54" borderId="0" applyNumberFormat="0" applyBorder="0" applyAlignment="0" applyProtection="0">
      <alignment vertical="center"/>
    </xf>
    <xf numFmtId="0" fontId="62" fillId="55" borderId="0" applyNumberFormat="0" applyBorder="0" applyAlignment="0" applyProtection="0">
      <alignment vertical="center"/>
    </xf>
    <xf numFmtId="0" fontId="62" fillId="56" borderId="0" applyNumberFormat="0" applyBorder="0" applyAlignment="0" applyProtection="0">
      <alignment vertical="center"/>
    </xf>
    <xf numFmtId="0" fontId="63" fillId="57" borderId="0" applyNumberFormat="0" applyBorder="0" applyAlignment="0" applyProtection="0">
      <alignment vertical="center"/>
    </xf>
    <xf numFmtId="0" fontId="63" fillId="58" borderId="0" applyNumberFormat="0" applyBorder="0" applyAlignment="0" applyProtection="0">
      <alignment vertical="center"/>
    </xf>
    <xf numFmtId="0" fontId="62" fillId="59" borderId="0" applyNumberFormat="0" applyBorder="0" applyAlignment="0" applyProtection="0">
      <alignment vertical="center"/>
    </xf>
    <xf numFmtId="0" fontId="62" fillId="60" borderId="0" applyNumberFormat="0" applyBorder="0" applyAlignment="0" applyProtection="0">
      <alignment vertical="center"/>
    </xf>
    <xf numFmtId="0" fontId="63" fillId="61" borderId="0" applyNumberFormat="0" applyBorder="0" applyAlignment="0" applyProtection="0">
      <alignment vertical="center"/>
    </xf>
    <xf numFmtId="0" fontId="63" fillId="16" borderId="0" applyNumberFormat="0" applyBorder="0" applyAlignment="0" applyProtection="0">
      <alignment vertical="center"/>
    </xf>
    <xf numFmtId="0" fontId="62" fillId="62" borderId="0" applyNumberFormat="0" applyBorder="0" applyAlignment="0" applyProtection="0">
      <alignment vertical="center"/>
    </xf>
  </cellStyleXfs>
  <cellXfs count="496">
    <xf numFmtId="0" fontId="0" fillId="0" borderId="0" xfId="0">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0" borderId="3" xfId="0" applyFont="1" applyBorder="1" applyAlignment="1">
      <alignment horizontal="center" vertical="center"/>
    </xf>
    <xf numFmtId="176" fontId="2" fillId="0" borderId="2" xfId="3" applyNumberFormat="1" applyFont="1" applyBorder="1" applyAlignment="1">
      <alignment horizontal="center" vertical="center"/>
    </xf>
    <xf numFmtId="176" fontId="2" fillId="0" borderId="2" xfId="0" applyNumberFormat="1" applyFont="1" applyBorder="1" applyAlignment="1">
      <alignment horizontal="center" vertical="center"/>
    </xf>
    <xf numFmtId="0" fontId="0" fillId="3" borderId="0" xfId="0" applyFill="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5" fillId="4" borderId="4" xfId="0" applyFont="1" applyFill="1" applyBorder="1" applyAlignment="1">
      <alignment horizontal="center" vertical="center"/>
    </xf>
    <xf numFmtId="0" fontId="5" fillId="4" borderId="5" xfId="0" applyFont="1" applyFill="1" applyBorder="1" applyAlignment="1">
      <alignment horizontal="center" vertical="center"/>
    </xf>
    <xf numFmtId="0" fontId="0" fillId="5" borderId="1" xfId="0" applyFill="1" applyBorder="1">
      <alignment vertical="center"/>
    </xf>
    <xf numFmtId="0" fontId="0" fillId="0" borderId="1" xfId="0" applyBorder="1" applyAlignment="1">
      <alignment horizontal="center" vertical="center"/>
    </xf>
    <xf numFmtId="0" fontId="6" fillId="6" borderId="1" xfId="0" applyFont="1" applyFill="1" applyBorder="1" applyAlignment="1">
      <alignment horizontal="center" vertical="center"/>
    </xf>
    <xf numFmtId="177" fontId="0" fillId="0" borderId="1" xfId="0" applyNumberFormat="1" applyBorder="1" applyAlignment="1">
      <alignment horizontal="center" vertical="center"/>
    </xf>
    <xf numFmtId="9" fontId="0" fillId="0" borderId="1" xfId="0" applyNumberFormat="1" applyBorder="1" applyAlignment="1">
      <alignment horizontal="center" vertical="center"/>
    </xf>
    <xf numFmtId="0" fontId="0" fillId="5" borderId="1" xfId="0" applyFill="1" applyBorder="1" applyAlignment="1">
      <alignment horizontal="center" vertical="center"/>
    </xf>
    <xf numFmtId="0" fontId="7" fillId="0" borderId="0" xfId="0" applyFont="1">
      <alignment vertical="center"/>
    </xf>
    <xf numFmtId="0" fontId="7" fillId="3" borderId="0" xfId="0" applyFont="1" applyFill="1">
      <alignment vertical="center"/>
    </xf>
    <xf numFmtId="0" fontId="7" fillId="0" borderId="0" xfId="0" applyFont="1" applyAlignment="1">
      <alignment horizontal="center" vertical="center"/>
    </xf>
    <xf numFmtId="0" fontId="8" fillId="0" borderId="1" xfId="0" applyFont="1" applyBorder="1" applyAlignment="1">
      <alignment horizontal="center" vertical="center"/>
    </xf>
    <xf numFmtId="0" fontId="8" fillId="7" borderId="1" xfId="0" applyFont="1" applyFill="1" applyBorder="1" applyAlignment="1">
      <alignment horizontal="center" vertical="center"/>
    </xf>
    <xf numFmtId="0" fontId="8" fillId="0" borderId="6" xfId="0" applyFont="1" applyBorder="1" applyAlignment="1">
      <alignment horizontal="center" vertical="center" wrapTex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7" fillId="8" borderId="1" xfId="0" applyFont="1" applyFill="1" applyBorder="1" applyAlignment="1">
      <alignment horizontal="center" vertical="center"/>
    </xf>
    <xf numFmtId="0" fontId="7" fillId="0" borderId="9" xfId="0" applyFont="1" applyBorder="1" applyAlignment="1">
      <alignment horizontal="center" vertical="center"/>
    </xf>
    <xf numFmtId="0" fontId="7" fillId="0" borderId="9" xfId="0" applyFont="1" applyBorder="1" applyAlignment="1">
      <alignment horizontal="center" vertical="center" wrapText="1"/>
    </xf>
    <xf numFmtId="0" fontId="7" fillId="8" borderId="1" xfId="0" applyFont="1" applyFill="1" applyBorder="1">
      <alignment vertical="center"/>
    </xf>
    <xf numFmtId="0" fontId="7" fillId="8" borderId="9" xfId="0" applyFont="1" applyFill="1" applyBorder="1" applyAlignment="1">
      <alignment horizontal="center" vertical="center"/>
    </xf>
    <xf numFmtId="0" fontId="8" fillId="8" borderId="9" xfId="0" applyFont="1" applyFill="1" applyBorder="1" applyAlignment="1">
      <alignment horizontal="center" vertical="center"/>
    </xf>
    <xf numFmtId="0" fontId="9" fillId="0" borderId="1" xfId="0" applyFont="1" applyBorder="1" applyAlignment="1">
      <alignment horizontal="center" vertical="center"/>
    </xf>
    <xf numFmtId="0" fontId="7" fillId="0" borderId="1" xfId="0" applyFont="1" applyBorder="1">
      <alignment vertical="center"/>
    </xf>
    <xf numFmtId="9" fontId="7" fillId="0" borderId="1" xfId="0" applyNumberFormat="1" applyFont="1" applyBorder="1" applyAlignment="1">
      <alignment horizontal="center" vertical="center"/>
    </xf>
    <xf numFmtId="0" fontId="7" fillId="0" borderId="1" xfId="3" applyNumberFormat="1" applyFont="1" applyFill="1" applyBorder="1" applyAlignment="1">
      <alignment horizontal="center" vertical="center"/>
    </xf>
    <xf numFmtId="0" fontId="8" fillId="0" borderId="1" xfId="0" applyFont="1" applyBorder="1" applyAlignment="1">
      <alignment horizontal="center" vertical="center" wrapText="1"/>
    </xf>
    <xf numFmtId="9" fontId="0" fillId="0" borderId="1" xfId="3" applyFont="1" applyFill="1"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9" xfId="0" applyBorder="1" applyAlignment="1">
      <alignment horizontal="center" vertical="center"/>
    </xf>
    <xf numFmtId="0" fontId="0" fillId="0" borderId="0" xfId="0" applyAlignment="1">
      <alignment horizontal="center" vertical="center"/>
    </xf>
    <xf numFmtId="0" fontId="10" fillId="0" borderId="0" xfId="0" applyFont="1">
      <alignment vertical="center"/>
    </xf>
    <xf numFmtId="0" fontId="11" fillId="0" borderId="0" xfId="0" applyFont="1" applyAlignment="1">
      <alignment horizontal="center" vertical="center"/>
    </xf>
    <xf numFmtId="0" fontId="11" fillId="0" borderId="1" xfId="0" applyFont="1" applyBorder="1" applyAlignment="1">
      <alignment horizontal="center" vertical="center"/>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7" fillId="0" borderId="13" xfId="0" applyFont="1" applyBorder="1">
      <alignment vertical="center"/>
    </xf>
    <xf numFmtId="0" fontId="12" fillId="0" borderId="4" xfId="0" applyFont="1" applyBorder="1" applyAlignment="1">
      <alignment horizontal="center" vertical="center"/>
    </xf>
    <xf numFmtId="0" fontId="12" fillId="0" borderId="5" xfId="0" applyFont="1" applyBorder="1" applyAlignment="1">
      <alignment horizontal="center"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2" fillId="0" borderId="0" xfId="0" applyFont="1" applyAlignment="1">
      <alignment horizontal="center" vertical="center"/>
    </xf>
    <xf numFmtId="0" fontId="7" fillId="0" borderId="13" xfId="0" applyFont="1" applyBorder="1" applyAlignment="1">
      <alignment horizontal="center" vertical="center"/>
    </xf>
    <xf numFmtId="0" fontId="13" fillId="0" borderId="16" xfId="0" applyFont="1" applyBorder="1" applyAlignment="1">
      <alignment horizontal="center" vertical="center"/>
    </xf>
    <xf numFmtId="0" fontId="7" fillId="0" borderId="4" xfId="0" applyFont="1" applyBorder="1" applyAlignment="1">
      <alignment horizontal="center" vertical="center"/>
    </xf>
    <xf numFmtId="0" fontId="14" fillId="0" borderId="4" xfId="0" applyFont="1" applyBorder="1" applyAlignment="1">
      <alignment horizontal="center" vertical="center"/>
    </xf>
    <xf numFmtId="0" fontId="7" fillId="0" borderId="17" xfId="0" applyFont="1" applyBorder="1" applyAlignment="1">
      <alignment horizontal="center" vertical="center"/>
    </xf>
    <xf numFmtId="9" fontId="7" fillId="0" borderId="13" xfId="0" applyNumberFormat="1" applyFont="1" applyBorder="1" applyAlignment="1">
      <alignment horizontal="center" vertical="center"/>
    </xf>
    <xf numFmtId="9" fontId="15" fillId="0" borderId="13" xfId="0" applyNumberFormat="1" applyFont="1" applyBorder="1" applyAlignment="1">
      <alignment horizontal="center" vertical="center"/>
    </xf>
    <xf numFmtId="0" fontId="13" fillId="0" borderId="13" xfId="0" applyFont="1" applyBorder="1" applyAlignment="1">
      <alignment horizontal="center" vertical="center"/>
    </xf>
    <xf numFmtId="0" fontId="13" fillId="0" borderId="13" xfId="0" applyFont="1" applyBorder="1" applyAlignment="1">
      <alignment horizontal="center" vertical="center" wrapText="1"/>
    </xf>
    <xf numFmtId="0" fontId="13" fillId="0" borderId="17" xfId="0" applyFont="1" applyBorder="1" applyAlignment="1">
      <alignment horizontal="center" vertical="center"/>
    </xf>
    <xf numFmtId="0" fontId="13" fillId="0" borderId="18" xfId="0" applyFont="1" applyBorder="1" applyAlignment="1">
      <alignment horizontal="center" vertical="center"/>
    </xf>
    <xf numFmtId="177" fontId="14" fillId="0" borderId="4" xfId="0" applyNumberFormat="1" applyFont="1" applyBorder="1" applyAlignment="1">
      <alignment horizontal="center" vertical="center"/>
    </xf>
    <xf numFmtId="177" fontId="7" fillId="0" borderId="13" xfId="0" applyNumberFormat="1" applyFont="1" applyBorder="1" applyAlignment="1">
      <alignment horizontal="center" vertical="center"/>
    </xf>
    <xf numFmtId="178" fontId="15" fillId="0" borderId="13" xfId="0" applyNumberFormat="1" applyFont="1" applyBorder="1" applyAlignment="1">
      <alignment horizontal="center" vertical="center"/>
    </xf>
    <xf numFmtId="0" fontId="14" fillId="0" borderId="13" xfId="0" applyFont="1" applyBorder="1" applyAlignment="1">
      <alignment horizontal="center" vertical="center"/>
    </xf>
    <xf numFmtId="177" fontId="14" fillId="0" borderId="13" xfId="0" applyNumberFormat="1" applyFont="1" applyBorder="1" applyAlignment="1">
      <alignment horizontal="center" vertical="center"/>
    </xf>
    <xf numFmtId="0" fontId="13" fillId="0" borderId="19" xfId="0" applyFont="1" applyBorder="1" applyAlignment="1">
      <alignment horizontal="center" vertical="center"/>
    </xf>
    <xf numFmtId="0" fontId="13" fillId="0" borderId="4" xfId="0" applyFont="1" applyBorder="1" applyAlignment="1">
      <alignment horizontal="center" vertical="center"/>
    </xf>
    <xf numFmtId="0" fontId="7" fillId="0" borderId="16" xfId="0" applyFont="1" applyBorder="1">
      <alignment vertical="center"/>
    </xf>
    <xf numFmtId="0" fontId="13" fillId="6" borderId="0" xfId="0" applyFont="1" applyFill="1">
      <alignment vertical="center"/>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2" fillId="9" borderId="4" xfId="0" applyFont="1" applyFill="1" applyBorder="1" applyAlignment="1">
      <alignment horizontal="center" vertical="center"/>
    </xf>
    <xf numFmtId="0" fontId="12" fillId="9" borderId="5" xfId="0" applyFont="1" applyFill="1" applyBorder="1" applyAlignment="1">
      <alignment horizontal="center" vertical="center"/>
    </xf>
    <xf numFmtId="0" fontId="7" fillId="9" borderId="13" xfId="0" applyFont="1" applyFill="1" applyBorder="1" applyAlignment="1">
      <alignment horizontal="center" vertical="center"/>
    </xf>
    <xf numFmtId="0" fontId="13" fillId="9" borderId="16" xfId="0" applyFont="1" applyFill="1" applyBorder="1" applyAlignment="1">
      <alignment horizontal="center" vertical="center"/>
    </xf>
    <xf numFmtId="0" fontId="7" fillId="0" borderId="0" xfId="0" applyFont="1" applyAlignment="1">
      <alignment horizontal="left" vertical="center"/>
    </xf>
    <xf numFmtId="0" fontId="13" fillId="9" borderId="18" xfId="0" applyFont="1" applyFill="1" applyBorder="1" applyAlignment="1">
      <alignment horizontal="center" vertical="center"/>
    </xf>
    <xf numFmtId="0" fontId="7" fillId="9" borderId="13" xfId="0" applyFont="1" applyFill="1" applyBorder="1">
      <alignment vertical="center"/>
    </xf>
    <xf numFmtId="0" fontId="13" fillId="9" borderId="19" xfId="0" applyFont="1" applyFill="1" applyBorder="1" applyAlignment="1">
      <alignment horizontal="center" vertical="center"/>
    </xf>
    <xf numFmtId="0" fontId="7" fillId="9" borderId="16" xfId="0" applyFont="1" applyFill="1" applyBorder="1">
      <alignment vertical="center"/>
    </xf>
    <xf numFmtId="0" fontId="13" fillId="9" borderId="13" xfId="0" applyFont="1" applyFill="1" applyBorder="1" applyAlignment="1">
      <alignment horizontal="center" vertical="center"/>
    </xf>
    <xf numFmtId="177" fontId="7" fillId="0" borderId="0" xfId="0" applyNumberFormat="1" applyFont="1" applyAlignment="1">
      <alignment horizontal="center" vertical="center"/>
    </xf>
    <xf numFmtId="0" fontId="12" fillId="4" borderId="5" xfId="0" applyFont="1" applyFill="1" applyBorder="1" applyAlignment="1">
      <alignment horizontal="center" vertical="center"/>
    </xf>
    <xf numFmtId="0" fontId="12" fillId="4" borderId="4" xfId="0" applyFont="1" applyFill="1" applyBorder="1" applyAlignment="1">
      <alignment horizontal="center" vertical="center"/>
    </xf>
    <xf numFmtId="0" fontId="16" fillId="0" borderId="0" xfId="0" applyFont="1" applyAlignment="1">
      <alignment horizontal="center" vertical="center"/>
    </xf>
    <xf numFmtId="0" fontId="15" fillId="0" borderId="13" xfId="0" applyFont="1" applyBorder="1" applyAlignment="1">
      <alignment horizontal="center" vertical="center"/>
    </xf>
    <xf numFmtId="0" fontId="10" fillId="0" borderId="13" xfId="0" applyFont="1" applyBorder="1" applyAlignment="1">
      <alignment horizontal="center" vertical="center"/>
    </xf>
    <xf numFmtId="0" fontId="7" fillId="0" borderId="13" xfId="0" applyFont="1" applyFill="1" applyBorder="1" applyAlignment="1">
      <alignment horizontal="center" vertical="center"/>
    </xf>
    <xf numFmtId="0" fontId="17" fillId="10" borderId="1" xfId="0" applyFont="1" applyFill="1" applyBorder="1" applyAlignment="1">
      <alignment horizontal="center" vertical="center" wrapText="1"/>
    </xf>
    <xf numFmtId="0" fontId="17" fillId="10" borderId="8" xfId="0" applyFont="1" applyFill="1" applyBorder="1" applyAlignment="1">
      <alignment horizontal="center" vertical="center"/>
    </xf>
    <xf numFmtId="0" fontId="17" fillId="10" borderId="1" xfId="0" applyFont="1" applyFill="1" applyBorder="1" applyAlignment="1">
      <alignment horizontal="center" vertical="center"/>
    </xf>
    <xf numFmtId="0" fontId="17" fillId="10" borderId="20" xfId="0" applyFont="1" applyFill="1" applyBorder="1" applyAlignment="1">
      <alignment horizontal="center" vertical="center" wrapText="1"/>
    </xf>
    <xf numFmtId="0" fontId="17" fillId="10" borderId="21" xfId="0" applyFont="1" applyFill="1" applyBorder="1" applyAlignment="1">
      <alignment horizontal="center" vertical="center" wrapText="1"/>
    </xf>
    <xf numFmtId="0" fontId="17" fillId="10" borderId="9" xfId="0" applyFont="1" applyFill="1" applyBorder="1" applyAlignment="1">
      <alignment horizontal="center" vertical="center" wrapText="1"/>
    </xf>
    <xf numFmtId="0" fontId="17" fillId="0" borderId="10" xfId="0" applyFont="1" applyBorder="1" applyAlignment="1">
      <alignment horizontal="center" vertical="center" wrapText="1"/>
    </xf>
    <xf numFmtId="0" fontId="17" fillId="11" borderId="1" xfId="0" applyFont="1" applyFill="1" applyBorder="1" applyAlignment="1">
      <alignment horizontal="center" vertical="center" wrapText="1"/>
    </xf>
    <xf numFmtId="1" fontId="17" fillId="11" borderId="1" xfId="0" applyNumberFormat="1" applyFont="1" applyFill="1" applyBorder="1" applyAlignment="1">
      <alignment horizontal="center" vertical="center" wrapText="1"/>
    </xf>
    <xf numFmtId="0" fontId="17" fillId="0" borderId="11" xfId="0" applyFont="1" applyBorder="1" applyAlignment="1">
      <alignment horizontal="center" vertical="center" wrapText="1"/>
    </xf>
    <xf numFmtId="0" fontId="17" fillId="0" borderId="1" xfId="0" applyFont="1" applyBorder="1" applyAlignment="1">
      <alignment horizontal="center" vertical="center" wrapText="1"/>
    </xf>
    <xf numFmtId="1" fontId="17" fillId="0" borderId="1" xfId="0" applyNumberFormat="1" applyFont="1" applyBorder="1" applyAlignment="1">
      <alignment horizontal="center" vertical="center" wrapText="1"/>
    </xf>
    <xf numFmtId="0" fontId="17" fillId="0" borderId="9" xfId="0" applyFont="1" applyBorder="1" applyAlignment="1">
      <alignment horizontal="center" vertical="center" wrapText="1"/>
    </xf>
    <xf numFmtId="1" fontId="17" fillId="0" borderId="10" xfId="0" applyNumberFormat="1" applyFont="1" applyBorder="1" applyAlignment="1">
      <alignment horizontal="center" vertical="center" wrapText="1"/>
    </xf>
    <xf numFmtId="0" fontId="17" fillId="11" borderId="8" xfId="0" applyFont="1" applyFill="1" applyBorder="1" applyAlignment="1">
      <alignment horizontal="center" vertical="center" wrapText="1"/>
    </xf>
    <xf numFmtId="0" fontId="17" fillId="0" borderId="8" xfId="0" applyFont="1" applyBorder="1" applyAlignment="1">
      <alignment horizontal="center" vertical="center" wrapText="1"/>
    </xf>
    <xf numFmtId="0" fontId="2" fillId="12" borderId="1" xfId="0" applyFont="1" applyFill="1" applyBorder="1" applyAlignment="1">
      <alignment horizontal="center" vertical="center"/>
    </xf>
    <xf numFmtId="178" fontId="18" fillId="13" borderId="1" xfId="3" applyNumberFormat="1" applyFont="1" applyFill="1" applyBorder="1" applyAlignment="1">
      <alignment horizontal="center" vertical="center"/>
    </xf>
    <xf numFmtId="178" fontId="18" fillId="13" borderId="7" xfId="3" applyNumberFormat="1" applyFont="1" applyFill="1" applyBorder="1" applyAlignment="1">
      <alignment horizontal="center" vertical="center"/>
    </xf>
    <xf numFmtId="178" fontId="18" fillId="13" borderId="8" xfId="3" applyNumberFormat="1" applyFont="1" applyFill="1" applyBorder="1" applyAlignment="1">
      <alignment horizontal="center" vertical="center"/>
    </xf>
    <xf numFmtId="0" fontId="2" fillId="12" borderId="10" xfId="0" applyFont="1" applyFill="1" applyBorder="1" applyAlignment="1">
      <alignment horizontal="center" vertical="center"/>
    </xf>
    <xf numFmtId="178" fontId="18" fillId="14" borderId="11" xfId="3" applyNumberFormat="1" applyFont="1" applyFill="1" applyBorder="1" applyAlignment="1">
      <alignment horizontal="center" vertical="center"/>
    </xf>
    <xf numFmtId="178" fontId="18" fillId="14" borderId="11" xfId="3" applyNumberFormat="1" applyFont="1" applyFill="1" applyBorder="1" applyAlignment="1">
      <alignment horizontal="center" vertical="center" wrapText="1"/>
    </xf>
    <xf numFmtId="178" fontId="18" fillId="14" borderId="22" xfId="3" applyNumberFormat="1" applyFont="1" applyFill="1" applyBorder="1" applyAlignment="1">
      <alignment horizontal="center" vertical="center"/>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2" fillId="15" borderId="25" xfId="0" applyFont="1" applyFill="1" applyBorder="1" applyAlignment="1">
      <alignment horizontal="center" vertical="center"/>
    </xf>
    <xf numFmtId="0" fontId="2" fillId="0" borderId="26"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25" xfId="3" applyNumberFormat="1" applyFont="1" applyFill="1" applyBorder="1" applyAlignment="1">
      <alignment horizontal="center" vertical="center" wrapText="1"/>
    </xf>
    <xf numFmtId="9" fontId="2" fillId="0" borderId="25" xfId="3" applyFont="1" applyFill="1" applyBorder="1" applyAlignment="1">
      <alignment horizontal="center" vertical="center" wrapText="1"/>
    </xf>
    <xf numFmtId="0" fontId="2" fillId="0" borderId="25" xfId="0" applyFont="1" applyBorder="1" applyAlignment="1">
      <alignment horizontal="center" vertical="center"/>
    </xf>
    <xf numFmtId="0" fontId="2" fillId="0" borderId="27" xfId="0" applyFont="1" applyBorder="1" applyAlignment="1">
      <alignment horizontal="center" vertical="center"/>
    </xf>
    <xf numFmtId="0" fontId="7" fillId="0" borderId="28" xfId="0" applyFont="1" applyBorder="1" applyAlignment="1">
      <alignment horizontal="center" vertical="center"/>
    </xf>
    <xf numFmtId="0" fontId="7" fillId="0" borderId="29" xfId="0" applyFont="1" applyBorder="1" applyAlignment="1">
      <alignment horizontal="center" vertical="center"/>
    </xf>
    <xf numFmtId="0" fontId="2" fillId="15" borderId="1" xfId="0" applyFont="1" applyFill="1" applyBorder="1" applyAlignment="1">
      <alignment horizontal="center" vertical="center"/>
    </xf>
    <xf numFmtId="0" fontId="2" fillId="0" borderId="9"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3" applyNumberFormat="1" applyFont="1" applyFill="1" applyBorder="1" applyAlignment="1">
      <alignment horizontal="center" vertical="center" wrapText="1"/>
    </xf>
    <xf numFmtId="9" fontId="2" fillId="0" borderId="1" xfId="3" applyFont="1" applyFill="1" applyBorder="1" applyAlignment="1">
      <alignment horizontal="center" vertical="center" wrapText="1"/>
    </xf>
    <xf numFmtId="0" fontId="2" fillId="0" borderId="1" xfId="0" applyFont="1" applyBorder="1" applyAlignment="1">
      <alignment horizontal="center" vertical="center"/>
    </xf>
    <xf numFmtId="0" fontId="2" fillId="0" borderId="30" xfId="0" applyFont="1" applyBorder="1" applyAlignment="1">
      <alignment horizontal="center" vertical="center"/>
    </xf>
    <xf numFmtId="0" fontId="7" fillId="0" borderId="30" xfId="0" applyFont="1" applyBorder="1">
      <alignment vertical="center"/>
    </xf>
    <xf numFmtId="0" fontId="19" fillId="15" borderId="1" xfId="0" applyFont="1" applyFill="1" applyBorder="1" applyAlignment="1">
      <alignment horizontal="center" vertical="center"/>
    </xf>
    <xf numFmtId="0" fontId="7" fillId="0" borderId="31" xfId="0" applyFont="1" applyBorder="1" applyAlignment="1">
      <alignment horizontal="center" vertical="center"/>
    </xf>
    <xf numFmtId="0" fontId="2" fillId="15" borderId="32" xfId="0" applyFont="1" applyFill="1" applyBorder="1" applyAlignment="1">
      <alignment horizontal="center" vertical="center"/>
    </xf>
    <xf numFmtId="0" fontId="2" fillId="0" borderId="32" xfId="0" applyFont="1" applyBorder="1" applyAlignment="1">
      <alignment horizontal="center" vertical="center" wrapText="1"/>
    </xf>
    <xf numFmtId="9" fontId="2" fillId="0" borderId="32" xfId="3" applyFont="1" applyFill="1" applyBorder="1" applyAlignment="1">
      <alignment horizontal="center" vertical="center" wrapText="1"/>
    </xf>
    <xf numFmtId="0" fontId="2" fillId="0" borderId="32" xfId="0" applyFont="1" applyBorder="1" applyAlignment="1">
      <alignment horizontal="center" vertical="center"/>
    </xf>
    <xf numFmtId="0" fontId="2" fillId="0" borderId="33" xfId="0" applyFont="1" applyBorder="1" applyAlignment="1">
      <alignment horizontal="center" vertical="center"/>
    </xf>
    <xf numFmtId="9" fontId="2" fillId="0" borderId="1" xfId="0" applyNumberFormat="1" applyFont="1" applyBorder="1" applyAlignment="1">
      <alignment horizontal="center" vertical="center"/>
    </xf>
    <xf numFmtId="0" fontId="7" fillId="0" borderId="34" xfId="0" applyFont="1" applyBorder="1" applyAlignment="1">
      <alignment horizontal="center" vertical="center"/>
    </xf>
    <xf numFmtId="0" fontId="7" fillId="0" borderId="35" xfId="0" applyFont="1" applyBorder="1" applyAlignment="1">
      <alignment horizontal="center" vertical="center"/>
    </xf>
    <xf numFmtId="0" fontId="7" fillId="0" borderId="36" xfId="0" applyFont="1" applyBorder="1" applyAlignment="1">
      <alignment horizontal="center" vertical="center"/>
    </xf>
    <xf numFmtId="0" fontId="7" fillId="0" borderId="37" xfId="0" applyFont="1" applyBorder="1" applyAlignment="1">
      <alignment horizontal="center" vertical="center"/>
    </xf>
    <xf numFmtId="0" fontId="7" fillId="0" borderId="38" xfId="0" applyFont="1" applyBorder="1" applyAlignment="1">
      <alignment horizontal="center" vertical="center"/>
    </xf>
    <xf numFmtId="0" fontId="7" fillId="0" borderId="39" xfId="0" applyFont="1" applyBorder="1" applyAlignment="1">
      <alignment horizontal="center" vertical="center"/>
    </xf>
    <xf numFmtId="177" fontId="2" fillId="0" borderId="27" xfId="0" applyNumberFormat="1" applyFont="1" applyBorder="1" applyAlignment="1">
      <alignment horizontal="center" vertical="center"/>
    </xf>
    <xf numFmtId="0" fontId="7" fillId="0" borderId="40" xfId="0" applyFont="1" applyBorder="1" applyAlignment="1">
      <alignment horizontal="center" vertical="center"/>
    </xf>
    <xf numFmtId="177" fontId="2" fillId="0" borderId="1" xfId="0" applyNumberFormat="1" applyFont="1" applyBorder="1" applyAlignment="1">
      <alignment horizontal="center" vertical="center"/>
    </xf>
    <xf numFmtId="177" fontId="2" fillId="0" borderId="1" xfId="0" applyNumberFormat="1" applyFont="1" applyBorder="1" applyAlignment="1">
      <alignment horizontal="center" vertical="center" wrapText="1"/>
    </xf>
    <xf numFmtId="0" fontId="2" fillId="0" borderId="10" xfId="0" applyFont="1" applyBorder="1" applyAlignment="1">
      <alignment horizontal="center" vertical="center" wrapText="1"/>
    </xf>
    <xf numFmtId="0" fontId="2" fillId="0" borderId="41" xfId="0" applyFont="1" applyBorder="1" applyAlignment="1">
      <alignment horizontal="center" vertical="center"/>
    </xf>
    <xf numFmtId="0" fontId="2" fillId="0" borderId="1" xfId="3" applyNumberFormat="1" applyFont="1" applyFill="1" applyBorder="1" applyAlignment="1">
      <alignment horizontal="center" vertical="center"/>
    </xf>
    <xf numFmtId="177" fontId="2" fillId="0" borderId="1" xfId="3" applyNumberFormat="1" applyFont="1" applyFill="1" applyBorder="1" applyAlignment="1">
      <alignment horizontal="center" vertical="center"/>
    </xf>
    <xf numFmtId="0" fontId="2" fillId="0" borderId="10" xfId="0" applyFont="1" applyBorder="1" applyAlignment="1">
      <alignment horizontal="center" vertical="center"/>
    </xf>
    <xf numFmtId="9" fontId="19" fillId="0" borderId="1" xfId="3" applyFont="1" applyFill="1" applyBorder="1" applyAlignment="1">
      <alignment horizontal="center" vertical="center"/>
    </xf>
    <xf numFmtId="0" fontId="7" fillId="0" borderId="42" xfId="0" applyFont="1" applyBorder="1" applyAlignment="1">
      <alignment horizontal="center" vertical="center"/>
    </xf>
    <xf numFmtId="0" fontId="7" fillId="0" borderId="8" xfId="0" applyFont="1" applyBorder="1" applyAlignment="1">
      <alignment horizontal="center" vertical="center"/>
    </xf>
    <xf numFmtId="179" fontId="2" fillId="0" borderId="1" xfId="0" applyNumberFormat="1" applyFont="1" applyBorder="1" applyAlignment="1">
      <alignment horizontal="center" vertical="center"/>
    </xf>
    <xf numFmtId="0" fontId="7" fillId="0" borderId="22" xfId="0" applyFont="1" applyBorder="1" applyAlignment="1">
      <alignment horizontal="center" vertical="center"/>
    </xf>
    <xf numFmtId="0" fontId="7" fillId="0" borderId="43" xfId="0" applyFont="1" applyBorder="1" applyAlignment="1">
      <alignment horizontal="center" vertical="center"/>
    </xf>
    <xf numFmtId="0" fontId="7" fillId="0" borderId="44" xfId="0" applyFont="1" applyBorder="1" applyAlignment="1">
      <alignment horizontal="center" vertical="center"/>
    </xf>
    <xf numFmtId="179" fontId="2" fillId="0" borderId="32" xfId="0" applyNumberFormat="1" applyFont="1" applyBorder="1" applyAlignment="1">
      <alignment horizontal="center" vertical="center" wrapText="1"/>
    </xf>
    <xf numFmtId="0" fontId="7" fillId="0" borderId="45" xfId="0" applyFont="1" applyBorder="1" applyAlignment="1">
      <alignment horizontal="center" vertical="center"/>
    </xf>
    <xf numFmtId="0" fontId="2" fillId="15" borderId="9" xfId="0" applyFont="1" applyFill="1" applyBorder="1" applyAlignment="1">
      <alignment horizontal="center" vertical="center"/>
    </xf>
    <xf numFmtId="0" fontId="2" fillId="0" borderId="9" xfId="3" applyNumberFormat="1" applyFont="1" applyFill="1" applyBorder="1" applyAlignment="1">
      <alignment horizontal="center" vertical="center" wrapText="1"/>
    </xf>
    <xf numFmtId="9" fontId="2" fillId="0" borderId="9" xfId="3" applyFont="1" applyFill="1" applyBorder="1" applyAlignment="1">
      <alignment horizontal="center" vertical="center" wrapText="1"/>
    </xf>
    <xf numFmtId="0" fontId="2" fillId="0" borderId="46" xfId="0" applyFont="1" applyBorder="1" applyAlignment="1">
      <alignment horizontal="center" vertical="center"/>
    </xf>
    <xf numFmtId="9" fontId="2" fillId="0" borderId="1" xfId="3" applyFont="1" applyFill="1" applyBorder="1" applyAlignment="1">
      <alignment horizontal="center" vertical="center"/>
    </xf>
    <xf numFmtId="177" fontId="2" fillId="0" borderId="1" xfId="3" applyNumberFormat="1" applyFont="1" applyFill="1" applyBorder="1" applyAlignment="1">
      <alignment horizontal="center" vertical="center" wrapText="1"/>
    </xf>
    <xf numFmtId="177" fontId="2" fillId="0" borderId="32" xfId="0" applyNumberFormat="1" applyFont="1" applyBorder="1" applyAlignment="1">
      <alignment horizontal="center" vertical="center" wrapText="1"/>
    </xf>
    <xf numFmtId="0" fontId="20" fillId="3" borderId="13" xfId="0" applyFont="1" applyFill="1" applyBorder="1" applyAlignment="1">
      <alignment horizontal="center" vertical="center"/>
    </xf>
    <xf numFmtId="0" fontId="13" fillId="6" borderId="13" xfId="0" applyFont="1" applyFill="1" applyBorder="1" applyAlignment="1">
      <alignment horizontal="center" vertical="center"/>
    </xf>
    <xf numFmtId="0" fontId="13" fillId="6" borderId="13" xfId="0" applyFont="1" applyFill="1" applyBorder="1">
      <alignment vertical="center"/>
    </xf>
    <xf numFmtId="0" fontId="21" fillId="0" borderId="0" xfId="0" applyFont="1">
      <alignment vertical="center"/>
    </xf>
    <xf numFmtId="0" fontId="21" fillId="3" borderId="0" xfId="0" applyFont="1" applyFill="1">
      <alignment vertical="center"/>
    </xf>
    <xf numFmtId="0" fontId="22" fillId="0" borderId="0" xfId="0" applyFont="1">
      <alignment vertical="center"/>
    </xf>
    <xf numFmtId="0" fontId="23" fillId="0" borderId="0" xfId="0" applyFont="1">
      <alignment vertical="center"/>
    </xf>
    <xf numFmtId="0" fontId="24" fillId="0" borderId="0" xfId="0" applyFont="1">
      <alignment vertical="center"/>
    </xf>
    <xf numFmtId="0" fontId="25" fillId="3" borderId="13" xfId="0" applyFont="1" applyFill="1" applyBorder="1" applyAlignment="1">
      <alignment horizontal="center" vertical="center"/>
    </xf>
    <xf numFmtId="0" fontId="23" fillId="0" borderId="13" xfId="0" applyFont="1" applyBorder="1" applyAlignment="1">
      <alignment horizontal="center"/>
    </xf>
    <xf numFmtId="0" fontId="23" fillId="0" borderId="13" xfId="0" applyFont="1" applyBorder="1" applyAlignment="1">
      <alignment horizontal="center" vertical="center"/>
    </xf>
    <xf numFmtId="0" fontId="26" fillId="0" borderId="0" xfId="0" applyFont="1">
      <alignment vertical="center"/>
    </xf>
    <xf numFmtId="0" fontId="25" fillId="3" borderId="4" xfId="0" applyFont="1" applyFill="1" applyBorder="1" applyAlignment="1">
      <alignment horizontal="center" vertical="center"/>
    </xf>
    <xf numFmtId="0" fontId="25" fillId="3" borderId="19" xfId="0" applyFont="1" applyFill="1" applyBorder="1" applyAlignment="1">
      <alignment horizontal="center" vertical="center" wrapText="1"/>
    </xf>
    <xf numFmtId="0" fontId="25" fillId="3" borderId="5" xfId="0" applyFont="1" applyFill="1" applyBorder="1" applyAlignment="1">
      <alignment horizontal="center" vertical="center"/>
    </xf>
    <xf numFmtId="0" fontId="23" fillId="0" borderId="16" xfId="0" applyFont="1" applyBorder="1" applyAlignment="1">
      <alignment horizontal="center" vertical="center"/>
    </xf>
    <xf numFmtId="9" fontId="23" fillId="0" borderId="13" xfId="0" applyNumberFormat="1" applyFont="1" applyBorder="1" applyAlignment="1">
      <alignment horizontal="center" vertical="center"/>
    </xf>
    <xf numFmtId="180" fontId="23" fillId="0" borderId="13" xfId="0" applyNumberFormat="1" applyFont="1" applyBorder="1" applyAlignment="1">
      <alignment horizontal="center" vertical="center"/>
    </xf>
    <xf numFmtId="0" fontId="23" fillId="0" borderId="17" xfId="0" applyFont="1" applyBorder="1" applyAlignment="1">
      <alignment horizontal="center" vertical="center"/>
    </xf>
    <xf numFmtId="9" fontId="0" fillId="0" borderId="0" xfId="0" applyNumberFormat="1">
      <alignment vertical="center"/>
    </xf>
    <xf numFmtId="0" fontId="23" fillId="0" borderId="0" xfId="0" applyFont="1" applyAlignment="1">
      <alignment horizontal="left" vertical="center"/>
    </xf>
    <xf numFmtId="49" fontId="23" fillId="0" borderId="13" xfId="0" applyNumberFormat="1" applyFont="1" applyBorder="1" applyAlignment="1">
      <alignment horizontal="center"/>
    </xf>
    <xf numFmtId="0" fontId="10" fillId="0" borderId="47" xfId="0" applyFont="1" applyBorder="1" applyAlignment="1">
      <alignment horizontal="center" vertical="center"/>
    </xf>
    <xf numFmtId="0" fontId="7" fillId="16" borderId="1" xfId="0" applyFont="1" applyFill="1" applyBorder="1" applyAlignment="1">
      <alignment horizontal="center" vertical="center"/>
    </xf>
    <xf numFmtId="9" fontId="7" fillId="0" borderId="0" xfId="0" applyNumberFormat="1" applyFont="1">
      <alignment vertical="center"/>
    </xf>
    <xf numFmtId="0" fontId="2" fillId="17" borderId="6" xfId="0" applyFont="1" applyFill="1" applyBorder="1" applyAlignment="1">
      <alignment horizontal="center" vertical="center"/>
    </xf>
    <xf numFmtId="0" fontId="2" fillId="17" borderId="7" xfId="0" applyFont="1" applyFill="1" applyBorder="1" applyAlignment="1">
      <alignment horizontal="center" vertical="center"/>
    </xf>
    <xf numFmtId="0" fontId="2" fillId="17" borderId="8" xfId="0" applyFont="1" applyFill="1" applyBorder="1" applyAlignment="1">
      <alignment horizontal="center" vertical="center"/>
    </xf>
    <xf numFmtId="0" fontId="2" fillId="17" borderId="1" xfId="0" applyFont="1" applyFill="1" applyBorder="1" applyAlignment="1">
      <alignment horizontal="center" vertical="center"/>
    </xf>
    <xf numFmtId="0" fontId="2" fillId="10" borderId="1" xfId="0" applyFont="1" applyFill="1" applyBorder="1" applyAlignment="1">
      <alignment horizontal="center" vertical="center"/>
    </xf>
    <xf numFmtId="0" fontId="2" fillId="10" borderId="10" xfId="0" applyFont="1" applyFill="1" applyBorder="1" applyAlignment="1">
      <alignment horizontal="center"/>
    </xf>
    <xf numFmtId="0" fontId="7" fillId="18" borderId="10" xfId="0" applyFont="1" applyFill="1" applyBorder="1" applyAlignment="1">
      <alignment horizontal="center" vertical="center"/>
    </xf>
    <xf numFmtId="0" fontId="7" fillId="0" borderId="10" xfId="0" applyFont="1" applyBorder="1" applyAlignment="1">
      <alignment horizontal="center" vertical="center"/>
    </xf>
    <xf numFmtId="0" fontId="10" fillId="0" borderId="1" xfId="0" applyFont="1" applyBorder="1" applyAlignment="1">
      <alignment horizontal="center" vertical="center"/>
    </xf>
    <xf numFmtId="0" fontId="13" fillId="15" borderId="1" xfId="0" applyFont="1" applyFill="1" applyBorder="1" applyAlignment="1">
      <alignment horizontal="center" vertical="center"/>
    </xf>
    <xf numFmtId="0" fontId="7" fillId="18" borderId="11" xfId="0" applyFont="1" applyFill="1" applyBorder="1" applyAlignment="1">
      <alignment horizontal="center" vertical="center"/>
    </xf>
    <xf numFmtId="0" fontId="7" fillId="0" borderId="11" xfId="0" applyFont="1" applyBorder="1" applyAlignment="1">
      <alignment horizontal="center" vertical="center"/>
    </xf>
    <xf numFmtId="0" fontId="2" fillId="19" borderId="1" xfId="0" applyFont="1" applyFill="1" applyBorder="1" applyAlignment="1">
      <alignment horizontal="center" vertical="center"/>
    </xf>
    <xf numFmtId="0" fontId="2" fillId="20" borderId="1" xfId="0" applyFont="1" applyFill="1" applyBorder="1" applyAlignment="1">
      <alignment horizontal="center" vertical="center"/>
    </xf>
    <xf numFmtId="0" fontId="13" fillId="0" borderId="1" xfId="0" applyFont="1" applyBorder="1" applyAlignment="1">
      <alignment horizontal="center" vertical="center"/>
    </xf>
    <xf numFmtId="0" fontId="7" fillId="18" borderId="9" xfId="0" applyFont="1" applyFill="1" applyBorder="1" applyAlignment="1">
      <alignment horizontal="center" vertical="center"/>
    </xf>
    <xf numFmtId="0" fontId="19" fillId="20" borderId="1" xfId="0" applyFont="1" applyFill="1" applyBorder="1" applyAlignment="1">
      <alignment horizontal="center" vertical="center"/>
    </xf>
    <xf numFmtId="0" fontId="15" fillId="0" borderId="1" xfId="0" applyFont="1" applyBorder="1" applyAlignment="1">
      <alignment horizontal="center" vertical="center"/>
    </xf>
    <xf numFmtId="0" fontId="15" fillId="0" borderId="0" xfId="0" applyFont="1">
      <alignment vertical="center"/>
    </xf>
    <xf numFmtId="0" fontId="19" fillId="19" borderId="1" xfId="0" applyFont="1" applyFill="1" applyBorder="1" applyAlignment="1">
      <alignment horizontal="center" vertical="center"/>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7" fillId="21" borderId="10" xfId="0" applyFont="1" applyFill="1" applyBorder="1" applyAlignment="1">
      <alignment horizontal="center" vertical="center"/>
    </xf>
    <xf numFmtId="0" fontId="7" fillId="21" borderId="9" xfId="0" applyFont="1" applyFill="1" applyBorder="1" applyAlignment="1">
      <alignment horizontal="center" vertical="center"/>
    </xf>
    <xf numFmtId="0" fontId="7" fillId="21" borderId="1" xfId="0" applyFont="1" applyFill="1" applyBorder="1" applyAlignment="1">
      <alignment horizontal="center" vertical="center"/>
    </xf>
    <xf numFmtId="0" fontId="27" fillId="9" borderId="0" xfId="0" applyFont="1" applyFill="1" applyAlignment="1">
      <alignment horizontal="center" vertical="center"/>
    </xf>
    <xf numFmtId="9" fontId="7" fillId="0" borderId="0" xfId="0" applyNumberFormat="1" applyFont="1" applyAlignment="1">
      <alignment horizontal="center" vertical="center"/>
    </xf>
    <xf numFmtId="58" fontId="0" fillId="0" borderId="0" xfId="0" applyNumberFormat="1" applyAlignment="1">
      <alignment horizontal="center" vertical="center"/>
    </xf>
    <xf numFmtId="0" fontId="28" fillId="22" borderId="48" xfId="0" applyFont="1" applyFill="1" applyBorder="1" applyAlignment="1">
      <alignment horizontal="center"/>
    </xf>
    <xf numFmtId="0" fontId="28" fillId="22" borderId="49" xfId="0" applyFont="1" applyFill="1" applyBorder="1" applyAlignment="1">
      <alignment horizontal="center" vertical="center"/>
    </xf>
    <xf numFmtId="0" fontId="16" fillId="0" borderId="48" xfId="0" applyFont="1" applyBorder="1" applyAlignment="1">
      <alignment horizontal="center"/>
    </xf>
    <xf numFmtId="9" fontId="16" fillId="0" borderId="48" xfId="0" applyNumberFormat="1" applyFont="1" applyBorder="1" applyAlignment="1">
      <alignment horizontal="center"/>
    </xf>
    <xf numFmtId="0" fontId="7" fillId="21" borderId="0" xfId="0" applyFont="1" applyFill="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7" fillId="11" borderId="1" xfId="0" applyFont="1" applyFill="1" applyBorder="1" applyAlignment="1">
      <alignment horizontal="center" vertical="center"/>
    </xf>
    <xf numFmtId="0" fontId="7" fillId="11" borderId="1" xfId="0" applyFont="1" applyFill="1" applyBorder="1" applyAlignment="1">
      <alignment horizontal="left" vertical="center"/>
    </xf>
    <xf numFmtId="0" fontId="7" fillId="11" borderId="6" xfId="0" applyFont="1" applyFill="1" applyBorder="1" applyAlignment="1">
      <alignment horizontal="center" vertical="center"/>
    </xf>
    <xf numFmtId="0" fontId="7" fillId="11" borderId="10" xfId="0" applyFont="1" applyFill="1" applyBorder="1" applyAlignment="1">
      <alignment horizontal="center" vertical="center"/>
    </xf>
    <xf numFmtId="0" fontId="15" fillId="11" borderId="10" xfId="0" applyFont="1" applyFill="1" applyBorder="1" applyAlignment="1">
      <alignment horizontal="center" vertical="center"/>
    </xf>
    <xf numFmtId="0" fontId="7" fillId="11" borderId="1" xfId="0" applyFont="1" applyFill="1" applyBorder="1" applyAlignment="1">
      <alignment horizontal="left" vertical="center" wrapText="1"/>
    </xf>
    <xf numFmtId="0" fontId="7" fillId="11" borderId="9" xfId="0" applyFont="1" applyFill="1" applyBorder="1" applyAlignment="1">
      <alignment horizontal="left" vertical="center"/>
    </xf>
    <xf numFmtId="0" fontId="15" fillId="11" borderId="9" xfId="0" applyFont="1" applyFill="1" applyBorder="1" applyAlignment="1">
      <alignment horizontal="left" vertical="center"/>
    </xf>
    <xf numFmtId="0" fontId="7" fillId="0" borderId="1" xfId="0" applyFont="1" applyBorder="1" applyAlignment="1">
      <alignment horizontal="left" vertical="center"/>
    </xf>
    <xf numFmtId="0" fontId="7" fillId="0" borderId="50" xfId="0" applyFont="1" applyBorder="1" applyAlignment="1">
      <alignment horizontal="center" vertical="center"/>
    </xf>
    <xf numFmtId="0" fontId="7" fillId="0" borderId="6" xfId="0" applyFont="1" applyBorder="1" applyAlignment="1">
      <alignment horizontal="left" vertical="center"/>
    </xf>
    <xf numFmtId="0" fontId="27" fillId="11" borderId="1" xfId="0" applyFont="1" applyFill="1" applyBorder="1" applyAlignment="1">
      <alignment horizontal="center" vertical="center"/>
    </xf>
    <xf numFmtId="0" fontId="7" fillId="0" borderId="20" xfId="0" applyFont="1" applyBorder="1" applyAlignment="1">
      <alignment horizontal="center" vertical="center"/>
    </xf>
    <xf numFmtId="0" fontId="7" fillId="23" borderId="0" xfId="0" applyFont="1" applyFill="1" applyAlignment="1">
      <alignment horizontal="center" vertical="center"/>
    </xf>
    <xf numFmtId="9" fontId="7" fillId="23" borderId="0" xfId="0" applyNumberFormat="1" applyFont="1" applyFill="1" applyAlignment="1">
      <alignment horizontal="center" vertical="center"/>
    </xf>
    <xf numFmtId="0" fontId="29" fillId="0" borderId="0" xfId="0" applyFont="1" applyAlignment="1">
      <alignment horizontal="center" vertical="center"/>
    </xf>
    <xf numFmtId="181" fontId="7" fillId="0" borderId="0" xfId="0" applyNumberFormat="1" applyFont="1" applyAlignment="1">
      <alignment horizontal="center" vertical="center"/>
    </xf>
    <xf numFmtId="177" fontId="29" fillId="0" borderId="0" xfId="0" applyNumberFormat="1" applyFont="1" applyAlignment="1">
      <alignment horizontal="center" vertical="center"/>
    </xf>
    <xf numFmtId="0" fontId="7" fillId="24" borderId="0" xfId="0" applyFont="1" applyFill="1" applyAlignment="1">
      <alignment horizontal="center" vertical="center"/>
    </xf>
    <xf numFmtId="9" fontId="29" fillId="11" borderId="0" xfId="3" applyFont="1" applyFill="1" applyAlignment="1">
      <alignment horizontal="center" vertical="center"/>
    </xf>
    <xf numFmtId="0" fontId="7" fillId="11" borderId="0" xfId="0" applyFont="1" applyFill="1" applyAlignment="1">
      <alignment horizontal="center" vertical="center"/>
    </xf>
    <xf numFmtId="0" fontId="7" fillId="24" borderId="0" xfId="0" applyNumberFormat="1" applyFont="1" applyFill="1" applyAlignment="1">
      <alignment horizontal="center" vertical="center"/>
    </xf>
    <xf numFmtId="177" fontId="7" fillId="11" borderId="0" xfId="0" applyNumberFormat="1" applyFont="1" applyFill="1" applyAlignment="1">
      <alignment horizontal="center" vertical="center"/>
    </xf>
    <xf numFmtId="9" fontId="29" fillId="0" borderId="0" xfId="3" applyFont="1" applyAlignment="1">
      <alignment horizontal="center" vertical="center"/>
    </xf>
    <xf numFmtId="9" fontId="15" fillId="0" borderId="0" xfId="3" applyFont="1" applyAlignment="1">
      <alignment horizontal="center" vertical="center"/>
    </xf>
    <xf numFmtId="0" fontId="15" fillId="0" borderId="0" xfId="0" applyFont="1" applyAlignment="1">
      <alignment horizontal="center" vertical="center"/>
    </xf>
    <xf numFmtId="10" fontId="7" fillId="0" borderId="0" xfId="0" applyNumberFormat="1" applyFont="1" applyAlignment="1">
      <alignment horizontal="center" vertical="center"/>
    </xf>
    <xf numFmtId="0" fontId="18" fillId="0" borderId="0" xfId="0" applyFont="1" applyAlignment="1">
      <alignment horizontal="left" vertical="center"/>
    </xf>
    <xf numFmtId="0" fontId="30" fillId="25" borderId="51" xfId="0" applyFont="1" applyFill="1" applyBorder="1" applyAlignment="1">
      <alignment horizontal="center" vertical="center"/>
    </xf>
    <xf numFmtId="0" fontId="30" fillId="25" borderId="52" xfId="0" applyFont="1" applyFill="1" applyBorder="1" applyAlignment="1">
      <alignment horizontal="center" vertical="center"/>
    </xf>
    <xf numFmtId="0" fontId="30" fillId="25" borderId="53" xfId="0" applyFont="1" applyFill="1" applyBorder="1" applyAlignment="1">
      <alignment horizontal="center" vertical="center"/>
    </xf>
    <xf numFmtId="182" fontId="7" fillId="0" borderId="0" xfId="0" applyNumberFormat="1" applyFont="1" applyAlignment="1">
      <alignment horizontal="center" vertical="center"/>
    </xf>
    <xf numFmtId="182" fontId="15" fillId="0" borderId="0" xfId="0" applyNumberFormat="1" applyFont="1" applyAlignment="1">
      <alignment horizontal="center" vertical="center"/>
    </xf>
    <xf numFmtId="182" fontId="31" fillId="0" borderId="0" xfId="0" applyNumberFormat="1" applyFont="1" applyAlignment="1">
      <alignment horizontal="center" vertical="center"/>
    </xf>
    <xf numFmtId="9" fontId="7" fillId="0" borderId="0" xfId="3" applyFont="1" applyAlignment="1">
      <alignment horizontal="center" vertical="center"/>
    </xf>
    <xf numFmtId="9" fontId="10" fillId="0" borderId="0" xfId="0" applyNumberFormat="1" applyFont="1" applyAlignment="1">
      <alignment horizontal="center" vertical="center"/>
    </xf>
    <xf numFmtId="0" fontId="10" fillId="0" borderId="0" xfId="0" applyFont="1" applyAlignment="1">
      <alignment horizontal="center" vertical="center"/>
    </xf>
    <xf numFmtId="0" fontId="12" fillId="26" borderId="1" xfId="0" applyFont="1" applyFill="1" applyBorder="1" applyAlignment="1">
      <alignment horizontal="center" vertical="center"/>
    </xf>
    <xf numFmtId="0" fontId="12" fillId="27" borderId="1" xfId="0" applyFont="1" applyFill="1" applyBorder="1" applyAlignment="1">
      <alignment horizontal="center" vertical="center"/>
    </xf>
    <xf numFmtId="0" fontId="12" fillId="27" borderId="7" xfId="0" applyFont="1" applyFill="1" applyBorder="1" applyAlignment="1">
      <alignment horizontal="center" vertical="center"/>
    </xf>
    <xf numFmtId="0" fontId="12" fillId="27" borderId="13" xfId="0" applyFont="1" applyFill="1" applyBorder="1" applyAlignment="1">
      <alignment horizontal="center" vertical="center"/>
    </xf>
    <xf numFmtId="0" fontId="12" fillId="27" borderId="54" xfId="0" applyFont="1" applyFill="1" applyBorder="1" applyAlignment="1">
      <alignment horizontal="center" vertical="center"/>
    </xf>
    <xf numFmtId="0" fontId="12" fillId="26" borderId="9" xfId="0" applyFont="1" applyFill="1" applyBorder="1" applyAlignment="1">
      <alignment horizontal="center" vertical="center"/>
    </xf>
    <xf numFmtId="0" fontId="12" fillId="27" borderId="55" xfId="0" applyFont="1" applyFill="1" applyBorder="1" applyAlignment="1">
      <alignment horizontal="center" vertical="center"/>
    </xf>
    <xf numFmtId="176" fontId="7" fillId="0" borderId="0" xfId="3" applyNumberFormat="1" applyFont="1" applyAlignment="1">
      <alignment horizontal="center" vertical="center"/>
    </xf>
    <xf numFmtId="176" fontId="31" fillId="0" borderId="0" xfId="0" applyNumberFormat="1" applyFont="1" applyAlignment="1">
      <alignment horizontal="center" vertical="center"/>
    </xf>
    <xf numFmtId="9" fontId="31" fillId="0" borderId="0" xfId="0" applyNumberFormat="1" applyFont="1" applyAlignment="1">
      <alignment horizontal="center" vertical="center"/>
    </xf>
    <xf numFmtId="179" fontId="7" fillId="0" borderId="0" xfId="0" applyNumberFormat="1" applyFont="1" applyAlignment="1">
      <alignment horizontal="center" vertical="center"/>
    </xf>
    <xf numFmtId="182" fontId="7" fillId="0" borderId="0" xfId="3" applyNumberFormat="1" applyFont="1" applyAlignment="1">
      <alignment horizontal="center" vertical="center"/>
    </xf>
    <xf numFmtId="176" fontId="31" fillId="0" borderId="0" xfId="3" applyNumberFormat="1" applyFont="1" applyAlignment="1">
      <alignment horizontal="center" vertical="center"/>
    </xf>
    <xf numFmtId="9" fontId="7" fillId="21" borderId="0" xfId="3" applyFont="1" applyFill="1" applyAlignment="1">
      <alignment horizontal="center" vertical="center"/>
    </xf>
    <xf numFmtId="182" fontId="7" fillId="21" borderId="0" xfId="3" applyNumberFormat="1" applyFont="1" applyFill="1" applyAlignment="1">
      <alignment horizontal="center" vertical="center"/>
    </xf>
    <xf numFmtId="176" fontId="7" fillId="21" borderId="0" xfId="3" applyNumberFormat="1" applyFont="1" applyFill="1" applyAlignment="1">
      <alignment horizontal="center" vertical="center"/>
    </xf>
    <xf numFmtId="176" fontId="31" fillId="21" borderId="0" xfId="3" applyNumberFormat="1" applyFont="1" applyFill="1" applyAlignment="1">
      <alignment horizontal="center" vertical="center"/>
    </xf>
    <xf numFmtId="9" fontId="7" fillId="21" borderId="0" xfId="0" applyNumberFormat="1" applyFont="1" applyFill="1" applyAlignment="1">
      <alignment horizontal="center" vertical="center"/>
    </xf>
    <xf numFmtId="176" fontId="31" fillId="21" borderId="0" xfId="0" applyNumberFormat="1" applyFont="1" applyFill="1" applyAlignment="1">
      <alignment horizontal="center" vertical="center"/>
    </xf>
    <xf numFmtId="177" fontId="7" fillId="21" borderId="0" xfId="0" applyNumberFormat="1" applyFont="1" applyFill="1" applyAlignment="1">
      <alignment horizontal="center" vertical="center"/>
    </xf>
    <xf numFmtId="182" fontId="7" fillId="21" borderId="0" xfId="0" applyNumberFormat="1" applyFont="1" applyFill="1" applyAlignment="1">
      <alignment horizontal="center" vertical="center"/>
    </xf>
    <xf numFmtId="179" fontId="7" fillId="21" borderId="0" xfId="0" applyNumberFormat="1" applyFont="1" applyFill="1" applyAlignment="1">
      <alignment horizontal="center" vertical="center"/>
    </xf>
    <xf numFmtId="177" fontId="31" fillId="23" borderId="0" xfId="0" applyNumberFormat="1" applyFont="1" applyFill="1" applyAlignment="1">
      <alignment horizontal="center" vertical="center"/>
    </xf>
    <xf numFmtId="0" fontId="31" fillId="23" borderId="0" xfId="0" applyFont="1" applyFill="1" applyAlignment="1">
      <alignment horizontal="center" vertical="center"/>
    </xf>
    <xf numFmtId="0" fontId="2" fillId="0" borderId="0" xfId="0" applyFont="1">
      <alignment vertical="center"/>
    </xf>
    <xf numFmtId="0" fontId="0" fillId="4" borderId="0" xfId="0" applyFill="1" applyAlignment="1">
      <alignment horizontal="center" vertical="center"/>
    </xf>
    <xf numFmtId="0" fontId="4" fillId="0" borderId="0" xfId="0" applyFont="1">
      <alignment vertical="center"/>
    </xf>
    <xf numFmtId="0" fontId="32" fillId="0" borderId="0" xfId="0" applyFont="1">
      <alignment vertical="center"/>
    </xf>
    <xf numFmtId="9" fontId="0" fillId="0" borderId="0" xfId="0" applyNumberFormat="1" applyAlignment="1">
      <alignment horizontal="center" vertical="center"/>
    </xf>
    <xf numFmtId="9" fontId="7" fillId="21" borderId="1" xfId="0" applyNumberFormat="1" applyFont="1" applyFill="1" applyBorder="1" applyAlignment="1">
      <alignment horizontal="center" vertical="center"/>
    </xf>
    <xf numFmtId="9" fontId="15" fillId="0" borderId="1" xfId="0" applyNumberFormat="1" applyFont="1" applyBorder="1" applyAlignment="1">
      <alignment horizontal="center" vertical="center"/>
    </xf>
    <xf numFmtId="183" fontId="7" fillId="0" borderId="1" xfId="0" applyNumberFormat="1" applyFont="1" applyBorder="1" applyAlignment="1">
      <alignment horizontal="center" vertical="center"/>
    </xf>
    <xf numFmtId="179" fontId="7" fillId="0" borderId="1" xfId="0" applyNumberFormat="1" applyFont="1" applyBorder="1" applyAlignment="1">
      <alignment horizontal="center" vertical="center"/>
    </xf>
    <xf numFmtId="9" fontId="7" fillId="0" borderId="10" xfId="0" applyNumberFormat="1" applyFont="1" applyBorder="1" applyAlignment="1">
      <alignment horizontal="center" vertical="center"/>
    </xf>
    <xf numFmtId="0" fontId="33" fillId="0" borderId="0" xfId="0" applyFont="1">
      <alignment vertical="center"/>
    </xf>
    <xf numFmtId="9" fontId="7" fillId="0" borderId="1" xfId="3" applyFont="1" applyFill="1" applyBorder="1" applyAlignment="1">
      <alignment horizontal="center" vertical="center"/>
    </xf>
    <xf numFmtId="9" fontId="7" fillId="0" borderId="9" xfId="0" applyNumberFormat="1" applyFont="1" applyBorder="1" applyAlignment="1">
      <alignment horizontal="center" vertical="center"/>
    </xf>
    <xf numFmtId="9" fontId="7" fillId="0" borderId="11" xfId="0" applyNumberFormat="1" applyFont="1" applyBorder="1" applyAlignment="1">
      <alignment horizontal="center" vertical="center"/>
    </xf>
    <xf numFmtId="0" fontId="34" fillId="6" borderId="0" xfId="0" applyFont="1" applyFill="1" applyAlignment="1">
      <alignment horizontal="center" vertical="center"/>
    </xf>
    <xf numFmtId="0" fontId="7" fillId="0" borderId="0" xfId="3" applyNumberFormat="1" applyFont="1">
      <alignment vertical="center"/>
    </xf>
    <xf numFmtId="0" fontId="7" fillId="0" borderId="0" xfId="3" applyNumberFormat="1" applyFont="1" applyAlignment="1">
      <alignment horizontal="left" vertical="center"/>
    </xf>
    <xf numFmtId="9" fontId="10" fillId="0" borderId="0" xfId="0" applyNumberFormat="1" applyFont="1" applyAlignment="1">
      <alignment horizontal="left" vertical="center"/>
    </xf>
    <xf numFmtId="0" fontId="12" fillId="27" borderId="6" xfId="0" applyFont="1" applyFill="1" applyBorder="1" applyAlignment="1">
      <alignment horizontal="center" vertical="center"/>
    </xf>
    <xf numFmtId="0" fontId="12" fillId="27" borderId="8" xfId="0" applyFont="1" applyFill="1" applyBorder="1" applyAlignment="1">
      <alignment horizontal="center" vertical="center"/>
    </xf>
    <xf numFmtId="0" fontId="12" fillId="27" borderId="8" xfId="0" applyFont="1" applyFill="1" applyBorder="1">
      <alignment vertical="center"/>
    </xf>
    <xf numFmtId="0" fontId="12" fillId="27" borderId="1" xfId="0" applyFont="1" applyFill="1" applyBorder="1">
      <alignment vertical="center"/>
    </xf>
    <xf numFmtId="0" fontId="12" fillId="27" borderId="17" xfId="0" applyFont="1" applyFill="1" applyBorder="1" applyAlignment="1">
      <alignment horizontal="center" vertical="center"/>
    </xf>
    <xf numFmtId="0" fontId="7" fillId="0" borderId="56" xfId="0" applyFont="1" applyBorder="1" applyAlignment="1">
      <alignment horizontal="center" vertical="center"/>
    </xf>
    <xf numFmtId="9" fontId="7" fillId="0" borderId="55" xfId="0" applyNumberFormat="1" applyFont="1" applyBorder="1" applyAlignment="1">
      <alignment horizontal="center" vertical="center"/>
    </xf>
    <xf numFmtId="0" fontId="7" fillId="0" borderId="55" xfId="0" applyFont="1" applyBorder="1" applyAlignment="1">
      <alignment horizontal="center" vertical="center"/>
    </xf>
    <xf numFmtId="182" fontId="7" fillId="0" borderId="55" xfId="0" applyNumberFormat="1" applyFont="1" applyBorder="1" applyAlignment="1">
      <alignment horizontal="center" vertical="center"/>
    </xf>
    <xf numFmtId="176" fontId="7" fillId="0" borderId="55" xfId="0" applyNumberFormat="1" applyFont="1" applyBorder="1" applyAlignment="1">
      <alignment horizontal="center" vertical="center"/>
    </xf>
    <xf numFmtId="9" fontId="7" fillId="8" borderId="55" xfId="0" applyNumberFormat="1" applyFont="1" applyFill="1" applyBorder="1" applyAlignment="1">
      <alignment horizontal="center" vertical="center"/>
    </xf>
    <xf numFmtId="0" fontId="7" fillId="8" borderId="55" xfId="0" applyFont="1" applyFill="1" applyBorder="1" applyAlignment="1">
      <alignment horizontal="center" vertical="center"/>
    </xf>
    <xf numFmtId="9" fontId="7" fillId="0" borderId="55" xfId="3" applyFont="1" applyBorder="1" applyAlignment="1">
      <alignment horizontal="center" vertical="center"/>
    </xf>
    <xf numFmtId="9" fontId="7" fillId="8" borderId="55" xfId="3" applyFont="1" applyFill="1" applyBorder="1" applyAlignment="1">
      <alignment horizontal="center" vertical="center"/>
    </xf>
    <xf numFmtId="178" fontId="0" fillId="0" borderId="0" xfId="3" applyNumberFormat="1" applyFont="1" applyAlignment="1">
      <alignment horizontal="center" vertical="center"/>
    </xf>
    <xf numFmtId="9" fontId="0" fillId="0" borderId="0" xfId="3" applyFont="1" applyAlignment="1">
      <alignment horizontal="center" vertical="center"/>
    </xf>
    <xf numFmtId="0" fontId="7" fillId="28" borderId="55" xfId="0" applyFont="1" applyFill="1" applyBorder="1" applyAlignment="1">
      <alignment horizontal="center" vertical="center"/>
    </xf>
    <xf numFmtId="9" fontId="7" fillId="28" borderId="55" xfId="0" applyNumberFormat="1" applyFont="1" applyFill="1" applyBorder="1" applyAlignment="1">
      <alignment horizontal="center" vertical="center"/>
    </xf>
    <xf numFmtId="0" fontId="7" fillId="0" borderId="55" xfId="3" applyNumberFormat="1" applyFont="1" applyBorder="1" applyAlignment="1">
      <alignment horizontal="center" vertical="center"/>
    </xf>
    <xf numFmtId="177" fontId="7" fillId="21" borderId="55" xfId="0" applyNumberFormat="1" applyFont="1" applyFill="1" applyBorder="1" applyAlignment="1">
      <alignment horizontal="center" vertical="center"/>
    </xf>
    <xf numFmtId="176" fontId="7" fillId="0" borderId="55" xfId="3" applyNumberFormat="1" applyFont="1" applyBorder="1" applyAlignment="1">
      <alignment horizontal="center" vertical="center"/>
    </xf>
    <xf numFmtId="176" fontId="7" fillId="8" borderId="55" xfId="3" applyNumberFormat="1" applyFont="1" applyFill="1" applyBorder="1" applyAlignment="1">
      <alignment horizontal="center" vertical="center"/>
    </xf>
    <xf numFmtId="177" fontId="7" fillId="0" borderId="55" xfId="0" applyNumberFormat="1" applyFont="1" applyBorder="1" applyAlignment="1">
      <alignment horizontal="center" vertical="center"/>
    </xf>
    <xf numFmtId="9" fontId="7" fillId="28" borderId="55" xfId="3" applyFont="1" applyFill="1" applyBorder="1" applyAlignment="1">
      <alignment horizontal="center" vertical="center"/>
    </xf>
    <xf numFmtId="10" fontId="7" fillId="0" borderId="55" xfId="3" applyNumberFormat="1" applyFont="1" applyBorder="1" applyAlignment="1">
      <alignment horizontal="center" vertical="center"/>
    </xf>
    <xf numFmtId="9" fontId="2" fillId="0" borderId="0" xfId="3" applyFont="1" applyAlignment="1">
      <alignment horizontal="center" vertical="center"/>
    </xf>
    <xf numFmtId="178" fontId="7" fillId="8" borderId="0" xfId="3" applyNumberFormat="1" applyFont="1" applyFill="1" applyAlignment="1">
      <alignment horizontal="center" vertical="center"/>
    </xf>
    <xf numFmtId="178" fontId="7" fillId="0" borderId="0" xfId="3" applyNumberFormat="1" applyFont="1" applyAlignment="1">
      <alignment horizontal="center" vertical="center"/>
    </xf>
    <xf numFmtId="10" fontId="7" fillId="0" borderId="0" xfId="3" applyNumberFormat="1" applyFont="1" applyAlignment="1">
      <alignment horizontal="center" vertical="center"/>
    </xf>
    <xf numFmtId="10" fontId="0" fillId="0" borderId="0" xfId="3" applyNumberFormat="1" applyFont="1" applyAlignment="1">
      <alignment horizontal="center" vertical="center"/>
    </xf>
    <xf numFmtId="0" fontId="7" fillId="6" borderId="0" xfId="0" applyFont="1" applyFill="1" applyAlignment="1">
      <alignment horizontal="left" vertical="center"/>
    </xf>
    <xf numFmtId="0" fontId="7" fillId="4" borderId="0" xfId="0" applyFont="1" applyFill="1" applyAlignment="1">
      <alignment horizontal="left" vertical="center"/>
    </xf>
    <xf numFmtId="0" fontId="11" fillId="5" borderId="0" xfId="0" applyFont="1" applyFill="1" applyAlignment="1">
      <alignment horizontal="left" vertical="center"/>
    </xf>
    <xf numFmtId="0" fontId="7" fillId="5" borderId="0" xfId="0" applyFont="1" applyFill="1" applyAlignment="1">
      <alignment horizontal="left" vertical="center"/>
    </xf>
    <xf numFmtId="0" fontId="30" fillId="25" borderId="1" xfId="0" applyFont="1" applyFill="1" applyBorder="1" applyAlignment="1">
      <alignment horizontal="center" vertical="center"/>
    </xf>
    <xf numFmtId="0" fontId="12" fillId="3" borderId="13" xfId="0" applyFont="1" applyFill="1" applyBorder="1" applyAlignment="1">
      <alignment horizontal="center" vertical="center"/>
    </xf>
    <xf numFmtId="182" fontId="7" fillId="0" borderId="0" xfId="3" applyNumberFormat="1" applyFont="1" applyFill="1" applyAlignment="1">
      <alignment horizontal="center" vertical="center"/>
    </xf>
    <xf numFmtId="182" fontId="7" fillId="0" borderId="0" xfId="0" applyNumberFormat="1" applyFont="1" applyAlignment="1">
      <alignment horizontal="left" vertical="center"/>
    </xf>
    <xf numFmtId="182" fontId="18" fillId="0" borderId="0" xfId="3" applyNumberFormat="1" applyFont="1" applyFill="1" applyAlignment="1">
      <alignment horizontal="center" vertical="center"/>
    </xf>
    <xf numFmtId="0" fontId="7" fillId="29" borderId="0" xfId="0" applyFont="1" applyFill="1" applyAlignment="1">
      <alignment horizontal="center" vertical="center"/>
    </xf>
    <xf numFmtId="0" fontId="7" fillId="5" borderId="0" xfId="0" applyFont="1" applyFill="1" applyAlignment="1">
      <alignment horizontal="center" vertical="center"/>
    </xf>
    <xf numFmtId="0" fontId="7" fillId="6" borderId="0" xfId="0" applyFont="1" applyFill="1" applyAlignment="1">
      <alignment horizontal="center" vertical="center"/>
    </xf>
    <xf numFmtId="9" fontId="7" fillId="5" borderId="0" xfId="0" applyNumberFormat="1" applyFont="1" applyFill="1" applyAlignment="1">
      <alignment horizontal="center" vertical="center"/>
    </xf>
    <xf numFmtId="0" fontId="12" fillId="4" borderId="17" xfId="0" applyFont="1" applyFill="1" applyBorder="1" applyAlignment="1">
      <alignment horizontal="center" vertical="center"/>
    </xf>
    <xf numFmtId="0" fontId="7" fillId="5" borderId="13" xfId="0" applyFont="1" applyFill="1" applyBorder="1">
      <alignment vertical="center"/>
    </xf>
    <xf numFmtId="0" fontId="7" fillId="5" borderId="13" xfId="0" applyFont="1" applyFill="1" applyBorder="1" applyAlignment="1">
      <alignment horizontal="center" vertical="center"/>
    </xf>
    <xf numFmtId="0" fontId="35" fillId="5" borderId="13" xfId="0" applyFont="1" applyFill="1" applyBorder="1" applyAlignment="1">
      <alignment horizontal="center" vertical="center"/>
    </xf>
    <xf numFmtId="0" fontId="7" fillId="5" borderId="55" xfId="0" applyFont="1" applyFill="1" applyBorder="1" applyAlignment="1">
      <alignment horizontal="center" vertical="center"/>
    </xf>
    <xf numFmtId="0" fontId="13" fillId="0" borderId="56" xfId="0" applyFont="1" applyBorder="1" applyAlignment="1">
      <alignment horizontal="center" vertical="center"/>
    </xf>
    <xf numFmtId="0" fontId="27" fillId="5" borderId="55" xfId="0" applyFont="1" applyFill="1" applyBorder="1" applyAlignment="1">
      <alignment horizontal="center" vertical="center"/>
    </xf>
    <xf numFmtId="0" fontId="10" fillId="5" borderId="17" xfId="0" applyFont="1" applyFill="1" applyBorder="1" applyAlignment="1">
      <alignment horizontal="center" vertical="center"/>
    </xf>
    <xf numFmtId="0" fontId="10" fillId="5" borderId="13" xfId="0" applyFont="1" applyFill="1" applyBorder="1" applyAlignment="1">
      <alignment horizontal="center" vertical="center"/>
    </xf>
    <xf numFmtId="0" fontId="7" fillId="5" borderId="13" xfId="0" applyFont="1" applyFill="1" applyBorder="1" applyAlignment="1">
      <alignment horizontal="center" vertical="center" wrapText="1"/>
    </xf>
    <xf numFmtId="0" fontId="12" fillId="4" borderId="5" xfId="0" applyFont="1" applyFill="1" applyBorder="1" applyAlignment="1">
      <alignment horizontal="left" vertical="center"/>
    </xf>
    <xf numFmtId="0" fontId="7" fillId="0" borderId="0" xfId="0" applyFont="1" applyFill="1" applyAlignment="1">
      <alignment horizontal="left" vertical="center"/>
    </xf>
    <xf numFmtId="0" fontId="10" fillId="5" borderId="10" xfId="0" applyFont="1" applyFill="1" applyBorder="1" applyAlignment="1">
      <alignment horizontal="center" vertical="center"/>
    </xf>
    <xf numFmtId="0" fontId="10" fillId="23" borderId="1" xfId="0" applyFont="1" applyFill="1" applyBorder="1" applyAlignment="1">
      <alignment horizontal="center" vertical="center"/>
    </xf>
    <xf numFmtId="0" fontId="36" fillId="0" borderId="1" xfId="0" applyFont="1" applyBorder="1" applyAlignment="1">
      <alignment horizontal="center" vertical="center"/>
    </xf>
    <xf numFmtId="0" fontId="36" fillId="0" borderId="9" xfId="0" applyFont="1" applyBorder="1" applyAlignment="1">
      <alignment horizontal="center" vertical="center"/>
    </xf>
    <xf numFmtId="0" fontId="30" fillId="25" borderId="57" xfId="0" applyFont="1" applyFill="1" applyBorder="1" applyAlignment="1">
      <alignment horizontal="center" vertical="center"/>
    </xf>
    <xf numFmtId="0" fontId="7" fillId="21" borderId="1" xfId="0" applyFont="1" applyFill="1" applyBorder="1" applyAlignment="1">
      <alignment horizontal="center" vertical="center" wrapText="1"/>
    </xf>
    <xf numFmtId="184" fontId="7" fillId="0" borderId="1" xfId="0" applyNumberFormat="1" applyFont="1" applyBorder="1" applyAlignment="1">
      <alignment horizontal="center" vertical="center"/>
    </xf>
    <xf numFmtId="177" fontId="7" fillId="0" borderId="1" xfId="0" applyNumberFormat="1" applyFont="1" applyBorder="1" applyAlignment="1">
      <alignment horizontal="center" vertical="center"/>
    </xf>
    <xf numFmtId="177" fontId="7" fillId="21" borderId="1" xfId="0" applyNumberFormat="1" applyFont="1" applyFill="1" applyBorder="1" applyAlignment="1">
      <alignment horizontal="center" vertical="center"/>
    </xf>
    <xf numFmtId="0" fontId="36" fillId="30" borderId="1" xfId="0" applyFont="1" applyFill="1" applyBorder="1" applyAlignment="1">
      <alignment horizontal="center" vertical="center"/>
    </xf>
    <xf numFmtId="0" fontId="37" fillId="0" borderId="1" xfId="0" applyFont="1" applyBorder="1" applyAlignment="1">
      <alignment horizontal="center" vertical="center"/>
    </xf>
    <xf numFmtId="0" fontId="7" fillId="31" borderId="1" xfId="0" applyFont="1" applyFill="1" applyBorder="1" applyAlignment="1">
      <alignment horizontal="center" vertical="center"/>
    </xf>
    <xf numFmtId="181" fontId="7" fillId="0" borderId="1" xfId="0" applyNumberFormat="1" applyFont="1" applyBorder="1" applyAlignment="1">
      <alignment horizontal="center" vertical="center" wrapText="1"/>
    </xf>
    <xf numFmtId="0" fontId="38" fillId="0" borderId="1" xfId="0" applyFont="1" applyBorder="1" applyAlignment="1">
      <alignment horizontal="center" vertical="center"/>
    </xf>
    <xf numFmtId="0" fontId="38" fillId="0" borderId="0" xfId="0" applyFont="1" applyAlignment="1">
      <alignment horizontal="center" vertical="center"/>
    </xf>
    <xf numFmtId="0" fontId="7" fillId="0" borderId="0" xfId="0" applyFont="1" applyAlignment="1">
      <alignment horizontal="center" vertical="center" wrapText="1"/>
    </xf>
    <xf numFmtId="181" fontId="7" fillId="0" borderId="0" xfId="0" applyNumberFormat="1" applyFont="1" applyAlignment="1">
      <alignment horizontal="center" vertical="center" wrapText="1"/>
    </xf>
    <xf numFmtId="0" fontId="11" fillId="5" borderId="0" xfId="0" applyFont="1" applyFill="1" applyAlignment="1">
      <alignment horizontal="center" vertical="center"/>
    </xf>
    <xf numFmtId="0" fontId="7" fillId="32" borderId="1" xfId="0" applyFont="1" applyFill="1" applyBorder="1" applyAlignment="1">
      <alignment horizontal="center" vertical="center"/>
    </xf>
    <xf numFmtId="0" fontId="30" fillId="25" borderId="9" xfId="0" applyFont="1" applyFill="1" applyBorder="1" applyAlignment="1">
      <alignment horizontal="center" vertical="center"/>
    </xf>
    <xf numFmtId="177" fontId="15" fillId="21" borderId="1" xfId="0" applyNumberFormat="1" applyFont="1" applyFill="1" applyBorder="1" applyAlignment="1">
      <alignment horizontal="center" vertical="center"/>
    </xf>
    <xf numFmtId="185" fontId="7" fillId="0" borderId="1" xfId="3" applyNumberFormat="1" applyFont="1" applyBorder="1" applyAlignment="1">
      <alignment horizontal="center" vertical="center"/>
    </xf>
    <xf numFmtId="178" fontId="7" fillId="0" borderId="1" xfId="0" applyNumberFormat="1" applyFont="1" applyBorder="1" applyAlignment="1">
      <alignment horizontal="center" vertical="center"/>
    </xf>
    <xf numFmtId="176" fontId="7" fillId="0" borderId="0" xfId="0" applyNumberFormat="1" applyFont="1" applyAlignment="1">
      <alignment horizontal="center" vertical="center"/>
    </xf>
    <xf numFmtId="0" fontId="15" fillId="0" borderId="0" xfId="0" applyFont="1" applyAlignment="1">
      <alignment horizontal="left" vertical="center"/>
    </xf>
    <xf numFmtId="9" fontId="30" fillId="25" borderId="9" xfId="3" applyFont="1" applyFill="1" applyBorder="1" applyAlignment="1">
      <alignment horizontal="center" vertical="center"/>
    </xf>
    <xf numFmtId="177" fontId="7" fillId="0" borderId="0" xfId="0" applyNumberFormat="1" applyFont="1" applyAlignment="1">
      <alignment horizontal="right" vertical="center"/>
    </xf>
    <xf numFmtId="177" fontId="7" fillId="32" borderId="1" xfId="0" applyNumberFormat="1" applyFont="1" applyFill="1" applyBorder="1" applyAlignment="1">
      <alignment horizontal="center" vertical="center"/>
    </xf>
    <xf numFmtId="184" fontId="7" fillId="32" borderId="1" xfId="0" applyNumberFormat="1" applyFont="1" applyFill="1" applyBorder="1" applyAlignment="1">
      <alignment horizontal="center" vertical="center"/>
    </xf>
    <xf numFmtId="9" fontId="15" fillId="32" borderId="1" xfId="3" applyFont="1" applyFill="1" applyBorder="1" applyAlignment="1">
      <alignment horizontal="center" vertical="center"/>
    </xf>
    <xf numFmtId="9" fontId="15" fillId="32" borderId="1" xfId="3" applyFont="1" applyFill="1" applyBorder="1" applyAlignment="1" applyProtection="1">
      <alignment horizontal="center" vertical="center"/>
    </xf>
    <xf numFmtId="178" fontId="15" fillId="32" borderId="1" xfId="3" applyNumberFormat="1" applyFont="1" applyFill="1" applyBorder="1" applyAlignment="1" applyProtection="1">
      <alignment horizontal="center" vertical="center"/>
    </xf>
    <xf numFmtId="186" fontId="15" fillId="32" borderId="1" xfId="3" applyNumberFormat="1" applyFont="1" applyFill="1" applyBorder="1" applyAlignment="1" applyProtection="1">
      <alignment horizontal="center" vertical="center"/>
    </xf>
    <xf numFmtId="9" fontId="7" fillId="11" borderId="1" xfId="0" applyNumberFormat="1" applyFont="1" applyFill="1" applyBorder="1" applyAlignment="1">
      <alignment horizontal="center" vertical="center"/>
    </xf>
    <xf numFmtId="9" fontId="15" fillId="11" borderId="1" xfId="3" applyFont="1" applyFill="1" applyBorder="1" applyAlignment="1">
      <alignment horizontal="center" vertical="center"/>
    </xf>
    <xf numFmtId="9" fontId="7" fillId="11" borderId="1" xfId="3" applyFont="1" applyFill="1" applyBorder="1" applyAlignment="1">
      <alignment horizontal="center" vertical="center"/>
    </xf>
    <xf numFmtId="184" fontId="7" fillId="11" borderId="1" xfId="0" applyNumberFormat="1" applyFont="1" applyFill="1" applyBorder="1" applyAlignment="1">
      <alignment horizontal="center" vertical="center"/>
    </xf>
    <xf numFmtId="184" fontId="7" fillId="11" borderId="1" xfId="3" applyNumberFormat="1" applyFont="1" applyFill="1" applyBorder="1" applyAlignment="1">
      <alignment horizontal="center" vertical="center"/>
    </xf>
    <xf numFmtId="9" fontId="7" fillId="0" borderId="0" xfId="3" applyFont="1" applyAlignment="1">
      <alignment horizontal="right" vertical="center"/>
    </xf>
    <xf numFmtId="181" fontId="7" fillId="0" borderId="0" xfId="0" applyNumberFormat="1" applyFont="1" applyAlignment="1">
      <alignment horizontal="right" vertical="center"/>
    </xf>
    <xf numFmtId="177" fontId="7" fillId="32" borderId="0" xfId="0" applyNumberFormat="1" applyFont="1" applyFill="1" applyAlignment="1">
      <alignment horizontal="center" vertical="center"/>
    </xf>
    <xf numFmtId="184" fontId="7" fillId="32" borderId="0" xfId="0" applyNumberFormat="1" applyFont="1" applyFill="1" applyAlignment="1">
      <alignment horizontal="center" vertical="center"/>
    </xf>
    <xf numFmtId="9" fontId="15" fillId="32" borderId="0" xfId="3" applyFont="1" applyFill="1" applyAlignment="1">
      <alignment horizontal="center" vertical="center"/>
    </xf>
    <xf numFmtId="9" fontId="15" fillId="32" borderId="0" xfId="3" applyFont="1" applyFill="1" applyAlignment="1" applyProtection="1">
      <alignment horizontal="center" vertical="center"/>
    </xf>
    <xf numFmtId="178" fontId="15" fillId="32" borderId="0" xfId="3" applyNumberFormat="1" applyFont="1" applyFill="1" applyAlignment="1" applyProtection="1">
      <alignment horizontal="center" vertical="center"/>
    </xf>
    <xf numFmtId="186" fontId="15" fillId="32" borderId="0" xfId="3" applyNumberFormat="1" applyFont="1" applyFill="1" applyAlignment="1" applyProtection="1">
      <alignment horizontal="center" vertical="center"/>
    </xf>
    <xf numFmtId="9" fontId="7" fillId="11" borderId="0" xfId="0" applyNumberFormat="1" applyFont="1" applyFill="1" applyAlignment="1">
      <alignment horizontal="center" vertical="center"/>
    </xf>
    <xf numFmtId="9" fontId="15" fillId="11" borderId="0" xfId="3" applyFont="1" applyFill="1" applyAlignment="1">
      <alignment horizontal="center" vertical="center"/>
    </xf>
    <xf numFmtId="9" fontId="7" fillId="11" borderId="0" xfId="3" applyFont="1" applyFill="1" applyAlignment="1">
      <alignment horizontal="center" vertical="center"/>
    </xf>
    <xf numFmtId="184" fontId="7" fillId="11" borderId="0" xfId="0" applyNumberFormat="1" applyFont="1" applyFill="1" applyAlignment="1">
      <alignment horizontal="center" vertical="center"/>
    </xf>
    <xf numFmtId="184" fontId="7" fillId="11" borderId="0" xfId="3" applyNumberFormat="1" applyFont="1" applyFill="1" applyAlignment="1">
      <alignment horizontal="center" vertical="center"/>
    </xf>
    <xf numFmtId="187" fontId="7" fillId="0" borderId="1" xfId="0" applyNumberFormat="1" applyFont="1" applyBorder="1" applyAlignment="1">
      <alignment horizontal="center" vertical="center"/>
    </xf>
    <xf numFmtId="9" fontId="7" fillId="0" borderId="1" xfId="3" applyFont="1" applyBorder="1" applyAlignment="1">
      <alignment horizontal="center" vertical="center"/>
    </xf>
    <xf numFmtId="188" fontId="7" fillId="0" borderId="1" xfId="3" applyNumberFormat="1" applyFont="1" applyBorder="1" applyAlignment="1">
      <alignment horizontal="center" vertical="center"/>
    </xf>
    <xf numFmtId="189" fontId="7" fillId="0" borderId="0" xfId="0" applyNumberFormat="1" applyFont="1" applyAlignment="1">
      <alignment horizontal="center" vertical="center"/>
    </xf>
    <xf numFmtId="0" fontId="1" fillId="25" borderId="3" xfId="0" applyFont="1" applyFill="1" applyBorder="1" applyAlignment="1">
      <alignment horizontal="center" vertical="center"/>
    </xf>
    <xf numFmtId="0" fontId="1" fillId="25" borderId="2" xfId="0" applyFont="1" applyFill="1" applyBorder="1" applyAlignment="1">
      <alignment horizontal="center" vertical="center"/>
    </xf>
    <xf numFmtId="177" fontId="39" fillId="0" borderId="2" xfId="0" applyNumberFormat="1" applyFont="1" applyBorder="1" applyAlignment="1">
      <alignment horizontal="center" vertical="center"/>
    </xf>
    <xf numFmtId="0" fontId="39" fillId="0" borderId="2" xfId="0" applyFont="1" applyBorder="1" applyAlignment="1">
      <alignment horizontal="center" vertical="center"/>
    </xf>
    <xf numFmtId="9" fontId="39" fillId="0" borderId="2" xfId="3" applyFont="1" applyFill="1" applyBorder="1" applyAlignment="1">
      <alignment horizontal="center" vertical="center"/>
    </xf>
    <xf numFmtId="0" fontId="19" fillId="0" borderId="2" xfId="3" applyNumberFormat="1" applyFont="1" applyFill="1" applyBorder="1" applyAlignment="1">
      <alignment horizontal="center" vertical="center"/>
    </xf>
    <xf numFmtId="0" fontId="39" fillId="0" borderId="2" xfId="3" applyNumberFormat="1" applyFont="1" applyFill="1" applyBorder="1" applyAlignment="1">
      <alignment horizontal="center" vertical="center"/>
    </xf>
    <xf numFmtId="9" fontId="40" fillId="0" borderId="2" xfId="0" applyNumberFormat="1" applyFont="1" applyBorder="1" applyAlignment="1">
      <alignment horizontal="center" vertical="center"/>
    </xf>
    <xf numFmtId="9" fontId="19" fillId="0" borderId="2" xfId="0" applyNumberFormat="1" applyFont="1" applyBorder="1" applyAlignment="1">
      <alignment horizontal="center" vertical="center"/>
    </xf>
    <xf numFmtId="9" fontId="19" fillId="0" borderId="2" xfId="3" applyFont="1" applyFill="1" applyBorder="1" applyAlignment="1">
      <alignment horizontal="center" vertical="center"/>
    </xf>
    <xf numFmtId="0" fontId="39" fillId="21" borderId="2" xfId="3" applyNumberFormat="1" applyFont="1" applyFill="1" applyBorder="1" applyAlignment="1">
      <alignment horizontal="center" vertical="center"/>
    </xf>
    <xf numFmtId="9" fontId="39" fillId="21" borderId="2" xfId="3" applyFont="1" applyFill="1" applyBorder="1" applyAlignment="1">
      <alignment horizontal="center" vertical="center"/>
    </xf>
    <xf numFmtId="9" fontId="39" fillId="0" borderId="2" xfId="0" applyNumberFormat="1" applyFont="1" applyBorder="1" applyAlignment="1">
      <alignment horizontal="center" vertical="center"/>
    </xf>
    <xf numFmtId="0" fontId="39" fillId="0" borderId="2" xfId="0" applyNumberFormat="1" applyFont="1" applyFill="1" applyBorder="1" applyAlignment="1">
      <alignment horizontal="center" vertical="center"/>
    </xf>
    <xf numFmtId="9" fontId="39" fillId="0" borderId="2" xfId="0" applyNumberFormat="1" applyFont="1" applyFill="1" applyBorder="1" applyAlignment="1">
      <alignment horizontal="center" vertical="center"/>
    </xf>
    <xf numFmtId="0" fontId="39" fillId="0" borderId="2" xfId="0" applyFont="1" applyFill="1" applyBorder="1" applyAlignment="1">
      <alignment horizontal="center" vertical="center"/>
    </xf>
    <xf numFmtId="0" fontId="7" fillId="4" borderId="0" xfId="0" applyFont="1" applyFill="1" applyAlignment="1">
      <alignment horizontal="center" vertical="center"/>
    </xf>
    <xf numFmtId="0" fontId="15" fillId="0" borderId="58" xfId="0" applyFont="1" applyBorder="1">
      <alignment vertical="center"/>
    </xf>
    <xf numFmtId="0" fontId="7" fillId="0" borderId="59" xfId="0" applyFont="1" applyBorder="1" applyAlignment="1">
      <alignment horizontal="center" vertical="center"/>
    </xf>
    <xf numFmtId="0" fontId="7" fillId="0" borderId="59" xfId="0" applyFont="1" applyBorder="1">
      <alignment vertical="center"/>
    </xf>
    <xf numFmtId="0" fontId="7" fillId="0" borderId="60" xfId="0" applyFont="1" applyBorder="1">
      <alignment vertical="center"/>
    </xf>
    <xf numFmtId="0" fontId="7" fillId="33" borderId="61" xfId="0" applyFont="1" applyFill="1" applyBorder="1">
      <alignment vertical="center"/>
    </xf>
    <xf numFmtId="0" fontId="7" fillId="34" borderId="0" xfId="0" applyFont="1" applyFill="1">
      <alignment vertical="center"/>
    </xf>
    <xf numFmtId="0" fontId="7" fillId="33" borderId="0" xfId="0" applyFont="1" applyFill="1" applyAlignment="1">
      <alignment horizontal="center" vertical="center"/>
    </xf>
    <xf numFmtId="0" fontId="7" fillId="33" borderId="62" xfId="0" applyFont="1" applyFill="1" applyBorder="1" applyAlignment="1">
      <alignment horizontal="center" vertical="center"/>
    </xf>
    <xf numFmtId="0" fontId="35" fillId="34" borderId="61" xfId="0" applyFont="1" applyFill="1" applyBorder="1" applyAlignment="1">
      <alignment horizontal="left" vertical="center"/>
    </xf>
    <xf numFmtId="0" fontId="35" fillId="34" borderId="0" xfId="0" applyFont="1" applyFill="1">
      <alignment vertical="center"/>
    </xf>
    <xf numFmtId="0" fontId="35" fillId="34" borderId="61" xfId="0" applyFont="1" applyFill="1" applyBorder="1" applyAlignment="1">
      <alignment horizontal="right" vertical="center"/>
    </xf>
    <xf numFmtId="0" fontId="35" fillId="34" borderId="0" xfId="0" applyFont="1" applyFill="1" applyAlignment="1">
      <alignment horizontal="left" vertical="center"/>
    </xf>
    <xf numFmtId="0" fontId="27" fillId="34" borderId="61" xfId="0" applyFont="1" applyFill="1" applyBorder="1" applyAlignment="1">
      <alignment horizontal="left" vertical="center"/>
    </xf>
    <xf numFmtId="0" fontId="27" fillId="34" borderId="0" xfId="0" applyFont="1" applyFill="1">
      <alignment vertical="center"/>
    </xf>
    <xf numFmtId="0" fontId="35" fillId="34" borderId="0" xfId="0" applyFont="1" applyFill="1" applyAlignment="1">
      <alignment horizontal="center" vertical="center"/>
    </xf>
    <xf numFmtId="0" fontId="35" fillId="34" borderId="62" xfId="0" applyFont="1" applyFill="1" applyBorder="1" applyAlignment="1">
      <alignment horizontal="center" vertical="center"/>
    </xf>
    <xf numFmtId="0" fontId="35" fillId="34" borderId="61" xfId="0" applyFont="1" applyFill="1" applyBorder="1">
      <alignment vertical="center"/>
    </xf>
    <xf numFmtId="0" fontId="27" fillId="34" borderId="61" xfId="0" applyFont="1" applyFill="1" applyBorder="1" applyAlignment="1">
      <alignment horizontal="right" vertical="center"/>
    </xf>
    <xf numFmtId="0" fontId="27" fillId="34" borderId="0" xfId="0" applyFont="1" applyFill="1" applyAlignment="1">
      <alignment horizontal="left" vertical="center"/>
    </xf>
    <xf numFmtId="0" fontId="41" fillId="34" borderId="0" xfId="0" applyFont="1" applyFill="1" applyAlignment="1">
      <alignment horizontal="left" vertical="center"/>
    </xf>
    <xf numFmtId="0" fontId="27" fillId="34" borderId="0" xfId="0" applyFont="1" applyFill="1" applyAlignment="1">
      <alignment horizontal="center" vertical="center"/>
    </xf>
    <xf numFmtId="9" fontId="35" fillId="34" borderId="0" xfId="0" applyNumberFormat="1" applyFont="1" applyFill="1" applyAlignment="1">
      <alignment horizontal="center" vertical="center"/>
    </xf>
    <xf numFmtId="0" fontId="27" fillId="33" borderId="0" xfId="0" applyFont="1" applyFill="1">
      <alignment vertical="center"/>
    </xf>
    <xf numFmtId="0" fontId="7" fillId="33" borderId="61" xfId="0" applyFont="1" applyFill="1" applyBorder="1" applyAlignment="1">
      <alignment horizontal="left" vertical="center"/>
    </xf>
    <xf numFmtId="0" fontId="27" fillId="33" borderId="0" xfId="0" applyFont="1" applyFill="1" applyAlignment="1">
      <alignment horizontal="left" vertical="center"/>
    </xf>
    <xf numFmtId="0" fontId="7" fillId="33" borderId="0" xfId="0" applyFont="1" applyFill="1" applyAlignment="1">
      <alignment horizontal="left" vertical="center"/>
    </xf>
    <xf numFmtId="0" fontId="15" fillId="0" borderId="58" xfId="0" applyFont="1" applyBorder="1" applyAlignment="1">
      <alignment horizontal="left" vertical="center"/>
    </xf>
    <xf numFmtId="0" fontId="35" fillId="34" borderId="59" xfId="0" applyFont="1" applyFill="1" applyBorder="1" applyAlignment="1">
      <alignment horizontal="center" vertical="center"/>
    </xf>
    <xf numFmtId="0" fontId="35" fillId="34" borderId="60" xfId="0" applyFont="1" applyFill="1" applyBorder="1" applyAlignment="1">
      <alignment horizontal="center" vertical="center"/>
    </xf>
    <xf numFmtId="0" fontId="15" fillId="34" borderId="61" xfId="0" applyFont="1" applyFill="1" applyBorder="1" applyAlignment="1">
      <alignment horizontal="left" vertical="center"/>
    </xf>
    <xf numFmtId="0" fontId="42" fillId="34" borderId="61" xfId="0" applyFont="1" applyFill="1" applyBorder="1" applyAlignment="1">
      <alignment horizontal="left" vertical="center"/>
    </xf>
    <xf numFmtId="0" fontId="27" fillId="34" borderId="61" xfId="0" applyFont="1" applyFill="1" applyBorder="1">
      <alignment vertical="center"/>
    </xf>
    <xf numFmtId="0" fontId="35" fillId="34" borderId="63" xfId="0" applyFont="1" applyFill="1" applyBorder="1" applyAlignment="1">
      <alignment horizontal="left" vertical="center"/>
    </xf>
    <xf numFmtId="0" fontId="35" fillId="34" borderId="64" xfId="0" applyFont="1" applyFill="1" applyBorder="1">
      <alignment vertical="center"/>
    </xf>
    <xf numFmtId="0" fontId="35" fillId="34" borderId="64" xfId="0" applyFont="1" applyFill="1" applyBorder="1" applyAlignment="1">
      <alignment horizontal="center" vertical="center"/>
    </xf>
    <xf numFmtId="0" fontId="35" fillId="34" borderId="65" xfId="0" applyFont="1" applyFill="1" applyBorder="1" applyAlignment="1">
      <alignment horizontal="center" vertical="center"/>
    </xf>
    <xf numFmtId="0" fontId="43" fillId="3" borderId="0" xfId="0" applyFont="1" applyFill="1" applyAlignment="1">
      <alignment horizontal="center" vertical="center"/>
    </xf>
    <xf numFmtId="0" fontId="27" fillId="0" borderId="0" xfId="0" applyFont="1">
      <alignment vertical="center"/>
    </xf>
    <xf numFmtId="0" fontId="27" fillId="0" borderId="0" xfId="0" applyFont="1" applyAlignment="1">
      <alignment horizontal="center" vertical="center"/>
    </xf>
    <xf numFmtId="0" fontId="11" fillId="0" borderId="0" xfId="0" applyFont="1" applyAlignment="1">
      <alignment horizontal="left" vertical="center"/>
    </xf>
    <xf numFmtId="0" fontId="10" fillId="0" borderId="0" xfId="0" applyFont="1" applyAlignment="1">
      <alignment horizontal="left" vertical="center"/>
    </xf>
    <xf numFmtId="0" fontId="7" fillId="0" borderId="0" xfId="0" applyFont="1" applyFill="1">
      <alignment vertical="center"/>
    </xf>
    <xf numFmtId="0" fontId="7" fillId="0" borderId="56" xfId="0" applyFont="1" applyFill="1" applyBorder="1" applyAlignment="1">
      <alignment horizontal="center" vertical="center"/>
    </xf>
    <xf numFmtId="9" fontId="7" fillId="0" borderId="55" xfId="0" applyNumberFormat="1" applyFont="1" applyFill="1" applyBorder="1" applyAlignment="1">
      <alignment horizontal="center" vertical="center"/>
    </xf>
    <xf numFmtId="0" fontId="7" fillId="0" borderId="55" xfId="0" applyFont="1" applyFill="1" applyBorder="1" applyAlignment="1">
      <alignment horizontal="center" vertical="center"/>
    </xf>
    <xf numFmtId="9" fontId="7" fillId="0" borderId="55" xfId="3" applyFont="1" applyFill="1" applyBorder="1" applyAlignment="1">
      <alignment horizontal="center" vertical="center"/>
    </xf>
    <xf numFmtId="177" fontId="7" fillId="0" borderId="55" xfId="0" applyNumberFormat="1" applyFont="1" applyFill="1" applyBorder="1" applyAlignment="1">
      <alignment horizontal="center" vertical="center"/>
    </xf>
    <xf numFmtId="176" fontId="7" fillId="0" borderId="55" xfId="3" applyNumberFormat="1" applyFont="1" applyFill="1" applyBorder="1" applyAlignment="1">
      <alignment horizontal="center" vertical="center"/>
    </xf>
    <xf numFmtId="0" fontId="7" fillId="0" borderId="55" xfId="3" applyNumberFormat="1" applyFont="1" applyFill="1" applyBorder="1" applyAlignment="1">
      <alignment horizontal="center" vertical="center"/>
    </xf>
    <xf numFmtId="10" fontId="7" fillId="0" borderId="55" xfId="3" applyNumberFormat="1" applyFont="1" applyFill="1" applyBorder="1" applyAlignment="1">
      <alignment horizontal="center" vertical="center"/>
    </xf>
    <xf numFmtId="0" fontId="44" fillId="4" borderId="13" xfId="0" applyFont="1" applyFill="1" applyBorder="1" applyAlignment="1">
      <alignment horizontal="center" vertical="center"/>
    </xf>
    <xf numFmtId="0" fontId="44" fillId="4" borderId="17" xfId="0" applyFont="1" applyFill="1" applyBorder="1" applyAlignment="1">
      <alignment horizontal="center" vertical="center"/>
    </xf>
    <xf numFmtId="0" fontId="6" fillId="5" borderId="56" xfId="0" applyFont="1" applyFill="1" applyBorder="1" applyAlignment="1">
      <alignment horizontal="center" vertical="center"/>
    </xf>
    <xf numFmtId="14" fontId="6" fillId="5" borderId="55" xfId="0" applyNumberFormat="1" applyFont="1" applyFill="1" applyBorder="1" applyAlignment="1">
      <alignment horizontal="center" vertical="center"/>
    </xf>
    <xf numFmtId="0" fontId="6" fillId="5" borderId="55"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381">
    <dxf>
      <font>
        <name val="微软雅黑"/>
        <scheme val="none"/>
        <charset val="134"/>
        <b val="0"/>
        <i val="0"/>
        <strike val="0"/>
        <u val="none"/>
        <sz val="10"/>
        <color theme="1"/>
      </font>
    </dxf>
    <dxf>
      <font>
        <name val="微软雅黑"/>
        <scheme val="none"/>
        <charset val="134"/>
        <b val="0"/>
        <i val="0"/>
        <strike val="0"/>
        <u val="none"/>
        <sz val="10"/>
        <color theme="1"/>
      </font>
    </dxf>
    <dxf>
      <font>
        <name val="微软雅黑"/>
        <scheme val="none"/>
        <charset val="134"/>
        <b val="0"/>
        <i val="0"/>
        <strike val="0"/>
        <u val="none"/>
        <sz val="10"/>
        <color theme="1"/>
      </font>
    </dxf>
    <dxf>
      <font>
        <name val="微软雅黑"/>
        <scheme val="none"/>
        <charset val="134"/>
        <b val="0"/>
        <i val="0"/>
        <strike val="0"/>
        <u val="none"/>
        <sz val="10"/>
        <color theme="1"/>
      </font>
    </dxf>
    <dxf>
      <font>
        <name val="微软雅黑"/>
        <scheme val="none"/>
        <charset val="134"/>
        <b val="0"/>
        <i val="0"/>
        <strike val="0"/>
        <u val="none"/>
        <sz val="10"/>
        <color theme="1"/>
      </font>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fill>
        <patternFill patternType="solid">
          <bgColor theme="1" tint="0.499984740745262"/>
        </patternFill>
      </fill>
      <alignment horizontal="center" vertical="center"/>
      <border>
        <left style="thin">
          <color rgb="FF000000"/>
        </left>
        <right style="thin">
          <color rgb="FF000000"/>
        </right>
        <top/>
        <bottom style="thin">
          <color rgb="FF000000"/>
        </bottom>
      </border>
    </dxf>
    <dxf>
      <font>
        <name val="等线"/>
        <scheme val="none"/>
        <charset val="134"/>
        <b val="0"/>
        <i val="0"/>
        <strike val="0"/>
        <u val="none"/>
        <sz val="10"/>
        <color theme="1"/>
      </font>
    </dxf>
    <dxf>
      <font>
        <name val="微软雅黑"/>
        <scheme val="none"/>
        <charset val="134"/>
        <b val="0"/>
        <i val="0"/>
        <strike val="0"/>
        <u val="none"/>
        <sz val="10"/>
        <color theme="1"/>
      </font>
      <fill>
        <patternFill patternType="solid">
          <bgColor theme="1" tint="0.499984740745262"/>
        </patternFill>
      </fill>
      <alignment horizontal="center" vertical="center"/>
      <border>
        <left/>
        <right style="thin">
          <color rgb="FF000000"/>
        </right>
        <top/>
        <bottom style="thin">
          <color rgb="FF000000"/>
        </bottom>
      </border>
    </dxf>
    <dxf>
      <font>
        <name val="等线"/>
        <scheme val="none"/>
        <charset val="134"/>
        <b val="0"/>
        <i val="0"/>
        <strike val="0"/>
        <u val="none"/>
        <sz val="10"/>
        <color theme="1"/>
      </font>
    </dxf>
    <dxf>
      <font>
        <name val="微软雅黑"/>
        <scheme val="none"/>
        <charset val="134"/>
        <b val="0"/>
        <i val="0"/>
        <strike val="0"/>
        <u val="none"/>
        <sz val="10"/>
        <color theme="1"/>
      </font>
      <fill>
        <patternFill patternType="solid">
          <bgColor theme="1" tint="0.499984740745262"/>
        </patternFill>
      </fill>
      <alignment horizontal="center" vertical="center"/>
      <border>
        <left/>
        <right style="thin">
          <color rgb="FF000000"/>
        </right>
        <top/>
        <bottom style="thin">
          <color rgb="FF000000"/>
        </bottom>
      </border>
    </dxf>
    <dxf>
      <font>
        <name val="微软雅黑"/>
        <scheme val="none"/>
        <charset val="134"/>
        <b val="0"/>
        <i val="0"/>
        <strike val="0"/>
        <u val="none"/>
        <sz val="10"/>
        <color theme="1"/>
      </font>
      <fill>
        <patternFill patternType="solid">
          <bgColor theme="1" tint="0.499984740745262"/>
        </patternFill>
      </fill>
      <alignment horizontal="center" vertical="center"/>
      <border>
        <left/>
        <right style="thin">
          <color rgb="FF000000"/>
        </right>
        <top/>
        <bottom style="thin">
          <color rgb="FF000000"/>
        </bottom>
      </border>
    </dxf>
    <dxf>
      <font>
        <name val="微软雅黑"/>
        <scheme val="none"/>
        <charset val="134"/>
        <b val="0"/>
        <i val="0"/>
        <strike val="0"/>
        <u val="none"/>
        <sz val="10"/>
        <color theme="1"/>
      </font>
      <fill>
        <patternFill patternType="solid">
          <bgColor theme="1" tint="0.499984740745262"/>
        </patternFill>
      </fill>
      <alignment horizontal="center" vertical="center"/>
      <border>
        <left/>
        <right style="thin">
          <color rgb="FF000000"/>
        </right>
        <top/>
        <bottom style="thin">
          <color rgb="FF000000"/>
        </bottom>
      </border>
    </dxf>
    <dxf>
      <font>
        <name val="等线"/>
        <scheme val="none"/>
        <charset val="134"/>
        <b val="0"/>
        <i val="0"/>
        <strike val="0"/>
        <u val="none"/>
        <sz val="10"/>
        <color theme="1"/>
      </font>
    </dxf>
    <dxf>
      <font>
        <name val="等线"/>
        <scheme val="none"/>
        <charset val="134"/>
        <b val="0"/>
        <i val="0"/>
        <strike val="0"/>
        <u val="none"/>
        <sz val="10"/>
        <color theme="1"/>
      </font>
    </dxf>
    <dxf>
      <font>
        <name val="等线"/>
        <scheme val="none"/>
        <charset val="134"/>
        <b val="0"/>
        <i val="0"/>
        <strike val="0"/>
        <u val="none"/>
        <sz val="10"/>
        <color theme="1"/>
      </font>
    </dxf>
    <dxf>
      <font>
        <name val="等线"/>
        <scheme val="none"/>
        <charset val="134"/>
        <b val="0"/>
        <i val="0"/>
        <strike val="0"/>
        <u val="none"/>
        <sz val="10"/>
        <color theme="1"/>
      </font>
    </dxf>
    <dxf>
      <font>
        <name val="等线"/>
        <scheme val="none"/>
        <charset val="134"/>
        <b val="0"/>
        <i val="0"/>
        <strike val="0"/>
        <u val="none"/>
        <sz val="10"/>
        <color theme="1"/>
      </font>
    </dxf>
    <dxf>
      <font>
        <name val="等线"/>
        <scheme val="none"/>
        <charset val="134"/>
        <b val="0"/>
        <i val="0"/>
        <strike val="0"/>
        <u val="none"/>
        <sz val="10"/>
        <color theme="1"/>
      </font>
    </dxf>
    <dxf>
      <font>
        <name val="等线"/>
        <scheme val="none"/>
        <charset val="134"/>
        <b val="0"/>
        <i val="0"/>
        <strike val="0"/>
        <u val="none"/>
        <sz val="10"/>
        <color theme="1"/>
      </font>
    </dxf>
    <dxf>
      <font>
        <name val="等线"/>
        <scheme val="none"/>
        <charset val="134"/>
        <b val="0"/>
        <i val="0"/>
        <strike val="0"/>
        <u val="none"/>
        <sz val="10"/>
        <color theme="1"/>
      </font>
    </dxf>
    <dxf>
      <font>
        <name val="等线"/>
        <scheme val="none"/>
        <charset val="134"/>
        <b val="0"/>
        <i val="0"/>
        <strike val="0"/>
        <u val="none"/>
        <sz val="10"/>
        <color theme="1"/>
      </font>
    </dxf>
    <dxf>
      <font>
        <name val="等线"/>
        <scheme val="none"/>
        <charset val="134"/>
        <b val="0"/>
        <i val="0"/>
        <strike val="0"/>
        <u val="none"/>
        <sz val="10"/>
        <color theme="1"/>
      </font>
    </dxf>
    <dxf>
      <font>
        <name val="等线"/>
        <scheme val="none"/>
        <charset val="134"/>
        <b val="0"/>
        <i val="0"/>
        <strike val="0"/>
        <u val="none"/>
        <sz val="10"/>
        <color theme="1"/>
      </font>
    </dxf>
    <dxf>
      <font>
        <name val="等线"/>
        <scheme val="none"/>
        <charset val="134"/>
        <b val="0"/>
        <i val="0"/>
        <strike val="0"/>
        <u val="none"/>
        <sz val="10"/>
        <color theme="1"/>
      </font>
      <fill>
        <patternFill patternType="none"/>
      </fill>
      <alignment horizontal="center" vertical="center"/>
      <border>
        <left style="thin">
          <color auto="1"/>
        </left>
        <right style="thin">
          <color auto="1"/>
        </right>
        <top style="thin">
          <color auto="1"/>
        </top>
        <bottom style="thin">
          <color auto="1"/>
        </bottom>
      </border>
    </dxf>
    <dxf>
      <font>
        <name val="等线"/>
        <scheme val="none"/>
        <charset val="134"/>
        <b val="0"/>
        <i val="0"/>
        <strike val="0"/>
        <u val="none"/>
        <sz val="10"/>
        <color theme="1"/>
      </font>
      <fill>
        <patternFill patternType="none"/>
      </fill>
      <alignment horizontal="center" vertical="center" wrapText="1"/>
      <border>
        <left style="thin">
          <color auto="1"/>
        </left>
        <right style="thin">
          <color auto="1"/>
        </right>
        <top style="thin">
          <color auto="1"/>
        </top>
        <bottom style="thin">
          <color auto="1"/>
        </bottom>
      </border>
    </dxf>
    <dxf>
      <fill>
        <patternFill patternType="none"/>
      </fill>
    </dxf>
    <dxf>
      <fill>
        <patternFill patternType="none"/>
      </fill>
    </dxf>
    <dxf>
      <fill>
        <patternFill patternType="none"/>
      </fill>
    </dxf>
    <dxf>
      <font>
        <name val="等线"/>
        <scheme val="none"/>
        <charset val="134"/>
        <b val="0"/>
        <i val="0"/>
        <strike val="0"/>
        <u val="none"/>
        <sz val="10"/>
        <color theme="1"/>
      </font>
      <fill>
        <patternFill patternType="none"/>
      </fill>
      <alignment horizontal="center"/>
      <border>
        <left style="thin">
          <color auto="1"/>
        </left>
        <right style="thin">
          <color auto="1"/>
        </right>
        <top style="thin">
          <color auto="1"/>
        </top>
        <bottom style="thin">
          <color auto="1"/>
        </bottom>
      </border>
    </dxf>
    <dxf>
      <font>
        <name val="等线"/>
        <scheme val="none"/>
        <charset val="134"/>
        <b val="0"/>
        <i val="0"/>
        <strike val="0"/>
        <u val="none"/>
        <sz val="10"/>
        <color theme="1"/>
      </font>
      <fill>
        <patternFill patternType="none"/>
      </fill>
      <alignment horizontal="center"/>
      <border>
        <left style="thin">
          <color auto="1"/>
        </left>
        <right style="thin">
          <color auto="1"/>
        </right>
        <top style="thin">
          <color auto="1"/>
        </top>
        <bottom style="thin">
          <color auto="1"/>
        </bottom>
      </border>
    </dxf>
    <dxf>
      <font>
        <name val="等线"/>
        <scheme val="none"/>
        <charset val="134"/>
        <b val="0"/>
        <i val="0"/>
        <strike val="0"/>
        <u val="none"/>
        <sz val="10"/>
        <color theme="1"/>
      </font>
      <fill>
        <patternFill patternType="none"/>
      </fill>
      <alignment horizontal="center"/>
      <border>
        <left style="thin">
          <color auto="1"/>
        </left>
        <right style="thin">
          <color auto="1"/>
        </right>
        <top style="thin">
          <color auto="1"/>
        </top>
        <bottom style="thin">
          <color auto="1"/>
        </bottom>
      </border>
    </dxf>
    <dxf>
      <font>
        <name val="等线"/>
        <scheme val="none"/>
        <charset val="134"/>
        <b val="0"/>
        <i val="0"/>
        <strike val="0"/>
        <u val="none"/>
        <sz val="10"/>
        <color theme="1"/>
      </font>
      <numFmt numFmtId="179" formatCode="0.0_ "/>
      <fill>
        <patternFill patternType="none"/>
      </fill>
      <alignment horizontal="center"/>
      <border>
        <left style="thin">
          <color auto="1"/>
        </left>
        <right style="thin">
          <color auto="1"/>
        </right>
        <top style="thin">
          <color auto="1"/>
        </top>
        <bottom style="thin">
          <color auto="1"/>
        </bottom>
      </border>
    </dxf>
    <dxf>
      <fill>
        <patternFill patternType="none"/>
      </fill>
    </dxf>
    <dxf>
      <fill>
        <patternFill patternType="none"/>
      </fill>
    </dxf>
    <dxf>
      <font>
        <name val="等线"/>
        <scheme val="none"/>
        <charset val="134"/>
        <b val="0"/>
        <i val="0"/>
        <strike val="0"/>
        <u val="none"/>
        <sz val="10"/>
        <color theme="1"/>
      </font>
      <numFmt numFmtId="177" formatCode="0_ "/>
      <fill>
        <patternFill patternType="none"/>
      </fill>
      <alignment horizontal="center"/>
      <border>
        <left style="thin">
          <color auto="1"/>
        </left>
        <right style="thin">
          <color auto="1"/>
        </right>
        <top style="thin">
          <color auto="1"/>
        </top>
        <bottom style="thin">
          <color auto="1"/>
        </bottom>
      </border>
    </dxf>
    <dxf>
      <font>
        <name val="等线"/>
        <scheme val="none"/>
        <charset val="134"/>
        <b val="0"/>
        <i val="0"/>
        <strike val="0"/>
        <u val="none"/>
        <sz val="10"/>
        <color theme="1"/>
      </font>
      <numFmt numFmtId="0" formatCode="General"/>
      <fill>
        <patternFill patternType="none"/>
      </fill>
      <alignment horizontal="center"/>
      <border>
        <left style="thin">
          <color auto="1"/>
        </left>
        <right style="thin">
          <color auto="1"/>
        </right>
        <top style="thin">
          <color auto="1"/>
        </top>
        <bottom style="thin">
          <color auto="1"/>
        </bottom>
      </border>
    </dxf>
    <dxf>
      <numFmt numFmtId="0" formatCode="General"/>
    </dxf>
    <dxf>
      <font>
        <name val="等线"/>
        <scheme val="none"/>
        <charset val="134"/>
        <b val="0"/>
        <i val="0"/>
        <strike val="0"/>
        <u val="none"/>
        <sz val="10"/>
        <color theme="1"/>
      </font>
      <fill>
        <patternFill patternType="none"/>
      </fill>
      <alignment horizontal="center"/>
      <border>
        <left style="thin">
          <color auto="1"/>
        </left>
        <right style="thin">
          <color auto="1"/>
        </right>
        <top style="thin">
          <color auto="1"/>
        </top>
        <bottom style="thin">
          <color auto="1"/>
        </bottom>
      </border>
    </dxf>
    <dxf>
      <font>
        <name val="等线"/>
        <scheme val="none"/>
        <charset val="134"/>
        <b val="0"/>
        <i val="0"/>
        <strike val="0"/>
        <u val="none"/>
        <sz val="10"/>
        <color theme="1"/>
      </font>
      <fill>
        <patternFill patternType="none"/>
      </fill>
      <alignment horizontal="center"/>
      <border>
        <left style="thin">
          <color auto="1"/>
        </left>
        <right style="thin">
          <color auto="1"/>
        </right>
        <top style="thin">
          <color auto="1"/>
        </top>
        <bottom style="thin">
          <color auto="1"/>
        </bottom>
      </border>
    </dxf>
    <dxf>
      <font>
        <name val="等线"/>
        <scheme val="none"/>
        <charset val="134"/>
        <b val="0"/>
        <i val="0"/>
        <strike val="0"/>
        <u val="none"/>
        <sz val="10"/>
        <color theme="1"/>
      </font>
      <numFmt numFmtId="0" formatCode="General"/>
      <fill>
        <patternFill patternType="none"/>
      </fill>
      <alignment horizontal="center"/>
      <border>
        <left style="thin">
          <color auto="1"/>
        </left>
        <right style="thin">
          <color auto="1"/>
        </right>
        <top style="thin">
          <color auto="1"/>
        </top>
        <bottom style="thin">
          <color auto="1"/>
        </bottom>
      </border>
    </dxf>
    <dxf>
      <font>
        <name val="等线"/>
        <scheme val="none"/>
        <charset val="134"/>
        <b val="0"/>
        <i val="0"/>
        <strike val="0"/>
        <u val="none"/>
        <sz val="10"/>
        <color theme="1"/>
      </font>
      <fill>
        <patternFill patternType="none"/>
      </fill>
      <alignment horizontal="center"/>
      <border>
        <left style="thin">
          <color auto="1"/>
        </left>
        <right style="thin">
          <color auto="1"/>
        </right>
        <top style="thin">
          <color auto="1"/>
        </top>
        <bottom style="thin">
          <color auto="1"/>
        </bottom>
      </border>
    </dxf>
    <dxf>
      <font>
        <name val="等线"/>
        <scheme val="none"/>
        <charset val="134"/>
        <b val="0"/>
        <i val="0"/>
        <strike val="0"/>
        <u val="none"/>
        <sz val="10"/>
        <color theme="1"/>
      </font>
    </dxf>
    <dxf>
      <font>
        <name val="等线"/>
        <scheme val="none"/>
        <charset val="134"/>
        <b val="0"/>
        <i val="0"/>
        <strike val="0"/>
        <u val="none"/>
        <sz val="10"/>
        <color theme="1"/>
      </font>
    </dxf>
    <dxf>
      <font>
        <name val="微软雅黑"/>
        <scheme val="none"/>
        <charset val="134"/>
        <b val="0"/>
        <i val="0"/>
        <strike val="0"/>
        <u val="none"/>
        <sz val="10"/>
        <color theme="1"/>
      </font>
      <fill>
        <patternFill patternType="solid">
          <fgColor rgb="FF000000"/>
          <bgColor rgb="FFFFFFFF"/>
        </patternFill>
      </fill>
      <alignment horizontal="left" vertical="center"/>
    </dxf>
    <dxf>
      <font>
        <name val="微软雅黑"/>
        <scheme val="none"/>
        <charset val="134"/>
        <b val="0"/>
        <i val="0"/>
        <strike val="0"/>
        <u val="none"/>
        <sz val="10"/>
        <color theme="1"/>
      </font>
      <fill>
        <patternFill patternType="solid">
          <bgColor rgb="FFFFFFFF"/>
        </patternFill>
      </fill>
      <alignment horizontal="center" vertical="center"/>
    </dxf>
    <dxf>
      <font>
        <name val="微软雅黑"/>
        <scheme val="none"/>
        <charset val="134"/>
        <b val="0"/>
        <i val="0"/>
        <strike val="0"/>
        <u val="none"/>
        <sz val="10"/>
        <color theme="1"/>
      </font>
      <fill>
        <patternFill patternType="solid">
          <fgColor rgb="FF000000"/>
          <bgColor rgb="FFFFFFFF"/>
        </patternFill>
      </fill>
      <alignment vertical="center"/>
      <border>
        <left style="thin">
          <color rgb="FF000000"/>
        </left>
        <right style="thin">
          <color rgb="FF000000"/>
        </right>
        <top style="thin">
          <color rgb="FF000000"/>
        </top>
        <bottom style="thin">
          <color rgb="FF000000"/>
        </bottom>
      </border>
    </dxf>
    <dxf>
      <font>
        <name val="微软雅黑"/>
        <scheme val="none"/>
        <charset val="134"/>
        <b val="0"/>
        <i val="0"/>
        <strike val="0"/>
        <u val="none"/>
        <sz val="10"/>
        <color auto="1"/>
      </font>
      <fill>
        <patternFill patternType="solid">
          <fgColor rgb="FF000000"/>
          <bgColor rgb="FFFFFFFF"/>
        </patternFill>
      </fill>
      <alignment horizontal="center" vertical="center"/>
      <border>
        <left/>
        <right style="thin">
          <color rgb="FF000000"/>
        </right>
        <top style="thin">
          <color rgb="FF000000"/>
        </top>
        <bottom style="thin">
          <color rgb="FF000000"/>
        </bottom>
      </border>
    </dxf>
    <dxf>
      <font>
        <name val="微软雅黑"/>
        <scheme val="none"/>
        <charset val="134"/>
        <b val="0"/>
        <i val="0"/>
        <strike val="0"/>
        <u val="none"/>
        <sz val="10"/>
        <color auto="1"/>
      </font>
      <fill>
        <patternFill patternType="solid">
          <fgColor rgb="FF000000"/>
          <bgColor rgb="FFFFFFFF"/>
        </patternFill>
      </fill>
      <alignment horizontal="center" vertical="center"/>
      <border>
        <left style="thin">
          <color rgb="FF000000"/>
        </left>
        <right style="thin">
          <color rgb="FF000000"/>
        </right>
        <top style="thin">
          <color rgb="FF000000"/>
        </top>
        <bottom style="thin">
          <color rgb="FF000000"/>
        </bottom>
      </border>
    </dxf>
    <dxf>
      <font>
        <name val="微软雅黑"/>
        <scheme val="none"/>
        <charset val="134"/>
        <b val="0"/>
        <i val="0"/>
        <strike val="0"/>
        <u val="none"/>
        <sz val="10"/>
        <color rgb="FF000000"/>
      </font>
      <fill>
        <patternFill patternType="solid">
          <fgColor rgb="FF000000"/>
          <bgColor rgb="FFFFFFFF"/>
        </patternFill>
      </fill>
      <alignment horizontal="center" vertical="center"/>
      <border>
        <left style="thin">
          <color rgb="FF000000"/>
        </left>
        <right style="thin">
          <color rgb="FF000000"/>
        </right>
        <top style="thin">
          <color rgb="FF000000"/>
        </top>
        <bottom style="thin">
          <color rgb="FF000000"/>
        </bottom>
      </border>
    </dxf>
    <dxf>
      <font>
        <name val="微软雅黑"/>
        <scheme val="none"/>
        <charset val="134"/>
        <b val="0"/>
        <i val="0"/>
        <strike val="0"/>
        <u val="none"/>
        <sz val="10"/>
        <color rgb="FF000000"/>
      </font>
      <fill>
        <patternFill patternType="solid">
          <fgColor rgb="FF000000"/>
          <bgColor rgb="FFFFFFFF"/>
        </patternFill>
      </fill>
      <alignment horizontal="center" vertical="center"/>
      <border>
        <left style="thin">
          <color rgb="FF000000"/>
        </left>
        <right style="thin">
          <color rgb="FF000000"/>
        </right>
        <top style="thin">
          <color rgb="FF000000"/>
        </top>
        <bottom style="thin">
          <color rgb="FF000000"/>
        </bottom>
      </border>
    </dxf>
    <dxf>
      <font>
        <name val="微软雅黑"/>
        <scheme val="none"/>
        <charset val="134"/>
        <b val="0"/>
        <i val="0"/>
        <strike val="0"/>
        <u val="none"/>
        <sz val="10"/>
        <color theme="1"/>
      </font>
      <alignment horizontal="center" vertical="center"/>
      <border>
        <left style="thin">
          <color rgb="FF000000"/>
        </left>
        <right style="thin">
          <color rgb="FF000000"/>
        </right>
        <top style="thin">
          <color rgb="FF000000"/>
        </top>
        <bottom style="thin">
          <color rgb="FF000000"/>
        </bottom>
      </border>
    </dxf>
    <dxf>
      <font>
        <name val="微软雅黑"/>
        <scheme val="none"/>
        <charset val="134"/>
        <b val="0"/>
        <i val="0"/>
        <strike val="0"/>
        <u val="none"/>
        <sz val="10"/>
        <color theme="1"/>
      </font>
      <alignment horizontal="center" vertical="center"/>
      <border>
        <left style="thin">
          <color rgb="FF000000"/>
        </left>
        <right style="thin">
          <color rgb="FF000000"/>
        </right>
        <top style="thin">
          <color rgb="FF000000"/>
        </top>
        <bottom style="thin">
          <color rgb="FF000000"/>
        </bottom>
      </border>
    </dxf>
    <dxf>
      <font>
        <name val="微软雅黑"/>
        <scheme val="none"/>
        <charset val="134"/>
        <b val="0"/>
        <i val="0"/>
        <strike val="0"/>
        <u val="none"/>
        <sz val="10"/>
        <color theme="1"/>
      </font>
      <alignment horizontal="center" vertical="center"/>
      <border>
        <left style="thin">
          <color rgb="FF000000"/>
        </left>
        <right style="thin">
          <color rgb="FF000000"/>
        </right>
        <top style="thin">
          <color rgb="FF000000"/>
        </top>
        <bottom style="thin">
          <color rgb="FF000000"/>
        </bottom>
      </border>
    </dxf>
    <dxf>
      <font>
        <name val="微软雅黑"/>
        <scheme val="none"/>
        <charset val="134"/>
        <b val="0"/>
        <i val="0"/>
        <strike val="0"/>
        <u val="none"/>
        <sz val="10"/>
        <color theme="1"/>
      </font>
      <alignment horizontal="center" vertical="center"/>
      <border>
        <left style="thin">
          <color rgb="FF000000"/>
        </left>
        <right style="thin">
          <color rgb="FF000000"/>
        </right>
        <top style="thin">
          <color rgb="FF000000"/>
        </top>
        <bottom style="thin">
          <color rgb="FF000000"/>
        </bottom>
      </border>
    </dxf>
    <dxf>
      <font>
        <name val="微软雅黑"/>
        <scheme val="none"/>
        <charset val="134"/>
        <b val="0"/>
        <i val="0"/>
        <strike val="0"/>
        <u val="none"/>
        <sz val="10"/>
        <color theme="1"/>
      </font>
      <alignment horizontal="left" vertical="center"/>
    </dxf>
    <dxf>
      <font>
        <name val="等线"/>
        <scheme val="none"/>
        <charset val="134"/>
        <b val="0"/>
        <i val="0"/>
        <strike val="0"/>
        <u val="none"/>
        <sz val="10"/>
        <color theme="1"/>
      </font>
    </dxf>
    <dxf>
      <font>
        <name val="微软雅黑"/>
        <scheme val="none"/>
        <charset val="134"/>
        <b val="0"/>
        <i val="0"/>
        <strike val="0"/>
        <u val="none"/>
        <sz val="10"/>
        <color theme="1"/>
      </font>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fill>
        <patternFill patternType="solid">
          <bgColor rgb="FFFFFF00"/>
        </patternFill>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numFmt numFmtId="0" formatCode="Genera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numFmt numFmtId="9" formatCode="0%"/>
      <alignment horizontal="center" vertical="center"/>
      <border>
        <left style="thin">
          <color auto="1"/>
        </left>
        <right style="thin">
          <color auto="1"/>
        </right>
        <top style="thin">
          <color auto="1"/>
        </top>
        <bottom style="thin">
          <color auto="1"/>
        </bottom>
      </border>
    </dxf>
    <dxf>
      <font>
        <name val="微软雅黑"/>
        <scheme val="none"/>
        <charset val="134"/>
        <b val="1"/>
        <i val="0"/>
        <strike val="0"/>
        <u val="none"/>
        <sz val="10"/>
        <color rgb="FFFF0000"/>
      </font>
      <numFmt numFmtId="177" formatCode="0_ "/>
      <fill>
        <patternFill patternType="solid">
          <bgColor rgb="FFFFFF00"/>
        </patternFill>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numFmt numFmtId="185" formatCode="[&lt;0.1]0.0%;0%"/>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numFmt numFmtId="9" formatCode="0%"/>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numFmt numFmtId="178" formatCode="0.0%"/>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numFmt numFmtId="9" formatCode="0%"/>
      <alignment horizontal="center" vertical="center"/>
      <border>
        <left style="thin">
          <color auto="1"/>
        </left>
        <right style="thin">
          <color auto="1"/>
        </right>
        <top style="thin">
          <color auto="1"/>
        </top>
        <bottom style="thin">
          <color auto="1"/>
        </bottom>
      </border>
    </dxf>
    <dxf>
      <font>
        <name val="微软雅黑"/>
        <scheme val="none"/>
        <charset val="134"/>
        <b val="1"/>
        <i val="0"/>
        <strike val="0"/>
        <u val="none"/>
        <sz val="10"/>
        <color rgb="FFFF0000"/>
      </font>
      <numFmt numFmtId="182" formatCode="0_);[Red]\(0\)"/>
      <fill>
        <patternFill patternType="none"/>
      </fill>
      <alignment horizontal="center" vertical="center"/>
    </dxf>
    <dxf>
      <font>
        <name val="微软雅黑"/>
        <scheme val="none"/>
        <charset val="134"/>
        <b val="0"/>
        <i val="0"/>
        <strike val="0"/>
        <u val="none"/>
        <sz val="10"/>
        <color theme="1"/>
      </font>
      <numFmt numFmtId="178" formatCode="0.0%"/>
      <alignment horizontal="center" vertical="center"/>
    </dxf>
    <dxf>
      <font>
        <name val="微软雅黑"/>
        <scheme val="none"/>
        <charset val="134"/>
        <b val="0"/>
        <i val="0"/>
        <strike val="0"/>
        <u val="none"/>
        <sz val="10"/>
        <color theme="1"/>
      </font>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numFmt numFmtId="177" formatCode="0_ "/>
      <fill>
        <patternFill patternType="solid">
          <bgColor theme="8" tint="0.799951170384838"/>
        </patternFill>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numFmt numFmtId="184" formatCode="[=0]&quot;&quot;;General"/>
      <fill>
        <patternFill patternType="solid">
          <bgColor theme="8" tint="0.799951170384838"/>
        </patternFill>
      </fill>
      <alignment horizontal="center" vertical="center"/>
      <border>
        <left style="thin">
          <color auto="1"/>
        </left>
        <right style="thin">
          <color auto="1"/>
        </right>
        <top style="thin">
          <color auto="1"/>
        </top>
        <bottom style="thin">
          <color auto="1"/>
        </bottom>
      </border>
    </dxf>
    <dxf>
      <font>
        <name val="微软雅黑"/>
        <scheme val="none"/>
        <charset val="134"/>
        <b val="1"/>
        <i val="0"/>
        <strike val="0"/>
        <u val="none"/>
        <sz val="10"/>
        <color rgb="FFFF0000"/>
      </font>
      <numFmt numFmtId="9" formatCode="0%"/>
      <fill>
        <patternFill patternType="solid">
          <bgColor theme="8" tint="0.799951170384838"/>
        </patternFill>
      </fill>
      <alignment horizontal="center" vertical="center"/>
      <border>
        <left style="thin">
          <color auto="1"/>
        </left>
        <right style="thin">
          <color auto="1"/>
        </right>
        <top style="thin">
          <color auto="1"/>
        </top>
        <bottom style="thin">
          <color auto="1"/>
        </bottom>
      </border>
    </dxf>
    <dxf>
      <font>
        <name val="微软雅黑"/>
        <scheme val="none"/>
        <charset val="134"/>
        <b val="1"/>
        <i val="0"/>
        <strike val="0"/>
        <u val="none"/>
        <sz val="10"/>
        <color rgb="FFFF0000"/>
      </font>
      <numFmt numFmtId="9" formatCode="0%"/>
      <fill>
        <patternFill patternType="solid">
          <bgColor theme="8" tint="0.799951170384838"/>
        </patternFill>
      </fill>
      <alignment horizontal="center" vertical="center"/>
      <border>
        <left style="thin">
          <color auto="1"/>
        </left>
        <right style="thin">
          <color auto="1"/>
        </right>
        <top style="thin">
          <color auto="1"/>
        </top>
        <bottom style="thin">
          <color auto="1"/>
        </bottom>
      </border>
    </dxf>
    <dxf>
      <numFmt numFmtId="178" formatCode="0.0%"/>
    </dxf>
    <dxf>
      <font>
        <name val="微软雅黑"/>
        <scheme val="none"/>
        <charset val="134"/>
        <b val="1"/>
        <i val="0"/>
        <strike val="0"/>
        <u val="none"/>
        <sz val="10"/>
        <color rgb="FFFF0000"/>
      </font>
      <numFmt numFmtId="9" formatCode="0%"/>
      <fill>
        <patternFill patternType="solid">
          <bgColor theme="8" tint="0.799951170384838"/>
        </patternFill>
      </fill>
      <alignment horizontal="center" vertical="center"/>
      <border>
        <left style="thin">
          <color auto="1"/>
        </left>
        <right style="thin">
          <color auto="1"/>
        </right>
        <top style="thin">
          <color auto="1"/>
        </top>
        <bottom style="thin">
          <color auto="1"/>
        </bottom>
      </border>
    </dxf>
    <dxf>
      <font>
        <name val="微软雅黑"/>
        <scheme val="none"/>
        <charset val="134"/>
        <b val="1"/>
        <i val="0"/>
        <strike val="0"/>
        <u val="none"/>
        <sz val="10"/>
        <color rgb="FFFF0000"/>
      </font>
      <numFmt numFmtId="186" formatCode="[=0]&quot;&quot;;0%"/>
      <fill>
        <patternFill patternType="solid">
          <bgColor theme="8" tint="0.799951170384838"/>
        </patternFill>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numFmt numFmtId="177" formatCode="0_ "/>
      <fill>
        <patternFill patternType="solid">
          <bgColor theme="8" tint="0.799951170384838"/>
        </patternFill>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numFmt numFmtId="177" formatCode="0_ "/>
      <fill>
        <patternFill patternType="solid">
          <bgColor theme="8" tint="0.799951170384838"/>
        </patternFill>
      </fill>
      <alignment horizontal="center" vertical="center"/>
      <border>
        <left style="thin">
          <color auto="1"/>
        </left>
        <right style="thin">
          <color auto="1"/>
        </right>
        <top style="thin">
          <color auto="1"/>
        </top>
        <bottom style="thin">
          <color auto="1"/>
        </bottom>
      </border>
    </dxf>
    <dxf>
      <numFmt numFmtId="177" formatCode="0_ "/>
    </dxf>
    <dxf>
      <font>
        <name val="微软雅黑"/>
        <scheme val="none"/>
        <charset val="134"/>
        <b val="0"/>
        <i val="0"/>
        <strike val="0"/>
        <u val="none"/>
        <sz val="10"/>
        <color theme="1"/>
      </font>
      <numFmt numFmtId="177" formatCode="0_ "/>
      <fill>
        <patternFill patternType="solid">
          <bgColor theme="8" tint="0.799951170384838"/>
        </patternFill>
      </fill>
      <alignment horizontal="center" vertical="center"/>
      <border>
        <left style="thin">
          <color auto="1"/>
        </left>
        <right style="thin">
          <color auto="1"/>
        </right>
        <top style="thin">
          <color auto="1"/>
        </top>
        <bottom style="thin">
          <color auto="1"/>
        </bottom>
      </border>
    </dxf>
    <dxf>
      <font>
        <name val="微软雅黑"/>
        <scheme val="none"/>
        <charset val="134"/>
        <b val="1"/>
        <i val="0"/>
        <strike val="0"/>
        <u val="none"/>
        <sz val="10"/>
        <color rgb="FFFF0000"/>
      </font>
      <fill>
        <patternFill patternType="solid">
          <bgColor theme="8" tint="0.799951170384838"/>
        </patternFill>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numFmt numFmtId="9" formatCode="0%"/>
      <fill>
        <patternFill patternType="solid">
          <bgColor theme="9" tint="0.799951170384838"/>
        </patternFill>
      </fill>
      <alignment horizontal="center" vertical="center"/>
      <border>
        <left style="thin">
          <color auto="1"/>
        </left>
        <right style="thin">
          <color auto="1"/>
        </right>
        <top style="thin">
          <color auto="1"/>
        </top>
        <bottom style="thin">
          <color auto="1"/>
        </bottom>
      </border>
    </dxf>
    <dxf>
      <font>
        <name val="微软雅黑"/>
        <scheme val="none"/>
        <charset val="134"/>
        <b val="1"/>
        <i val="0"/>
        <strike val="0"/>
        <u val="none"/>
        <sz val="10"/>
        <color rgb="FFFF0000"/>
      </font>
      <fill>
        <patternFill patternType="solid">
          <bgColor theme="9" tint="0.799951170384838"/>
        </patternFill>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fill>
        <patternFill patternType="solid">
          <bgColor theme="9" tint="0.799951170384838"/>
        </patternFill>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fill>
        <patternFill patternType="solid">
          <bgColor theme="9" tint="0.799951170384838"/>
        </patternFill>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numFmt numFmtId="184" formatCode="[=0]&quot;&quot;;General"/>
      <fill>
        <patternFill patternType="solid">
          <bgColor theme="9" tint="0.799951170384838"/>
        </patternFill>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fill>
        <patternFill patternType="solid">
          <bgColor theme="9" tint="0.799951170384838"/>
        </patternFill>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fill>
        <patternFill patternType="solid">
          <bgColor theme="9" tint="0.799951170384838"/>
        </patternFill>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numFmt numFmtId="184" formatCode="[=0]&quot;&quot;;General"/>
      <fill>
        <patternFill patternType="solid">
          <bgColor theme="9" tint="0.799951170384838"/>
        </patternFill>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fill>
        <patternFill patternType="solid">
          <bgColor theme="9" tint="0.799951170384838"/>
        </patternFill>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1"/>
        <color theme="1"/>
      </font>
      <fill>
        <patternFill patternType="none"/>
      </fill>
      <alignment horizontal="center" vertical="center"/>
      <border>
        <left style="thin">
          <color theme="4" tint="0.399914548173467"/>
        </left>
        <right/>
        <top style="thin">
          <color theme="4" tint="0.399914548173467"/>
        </top>
        <bottom style="thin">
          <color theme="4" tint="0.399914548173467"/>
        </bottom>
      </border>
    </dxf>
    <dxf>
      <font>
        <name val="微软雅黑"/>
        <scheme val="none"/>
        <charset val="134"/>
        <b val="1"/>
        <i val="0"/>
        <strike val="0"/>
        <u val="none"/>
        <sz val="11"/>
        <color theme="4"/>
      </font>
      <numFmt numFmtId="177" formatCode="0_ "/>
      <fill>
        <patternFill patternType="none"/>
      </fill>
      <alignment horizontal="center" vertical="center"/>
      <border>
        <left/>
        <right/>
        <top style="thin">
          <color theme="4" tint="0.399914548173467"/>
        </top>
        <bottom style="thin">
          <color theme="4" tint="0.399914548173467"/>
        </bottom>
      </border>
    </dxf>
    <dxf>
      <font>
        <name val="微软雅黑"/>
        <scheme val="none"/>
        <charset val="134"/>
        <b val="1"/>
        <i val="0"/>
        <strike val="0"/>
        <u val="none"/>
        <sz val="11"/>
        <color theme="4"/>
      </font>
      <numFmt numFmtId="178" formatCode="0.0%"/>
      <fill>
        <patternFill patternType="none"/>
      </fill>
      <alignment horizontal="center" vertical="center"/>
      <border>
        <left/>
        <right/>
        <top style="thin">
          <color theme="4" tint="0.399914548173467"/>
        </top>
        <bottom style="thin">
          <color theme="4" tint="0.399914548173467"/>
        </bottom>
      </border>
    </dxf>
    <dxf>
      <font>
        <name val="微软雅黑"/>
        <scheme val="none"/>
        <charset val="134"/>
        <b val="1"/>
        <i val="0"/>
        <strike val="0"/>
        <u val="none"/>
        <sz val="11"/>
        <color theme="4"/>
      </font>
      <numFmt numFmtId="9" formatCode="0%"/>
      <fill>
        <patternFill patternType="none"/>
      </fill>
      <alignment horizontal="center" vertical="center"/>
      <border>
        <left/>
        <right/>
        <top style="thin">
          <color theme="4" tint="0.399914548173467"/>
        </top>
        <bottom style="thin">
          <color theme="4" tint="0.399914548173467"/>
        </bottom>
      </border>
    </dxf>
    <dxf>
      <font>
        <name val="微软雅黑"/>
        <scheme val="none"/>
        <charset val="134"/>
        <b val="1"/>
        <i val="0"/>
        <strike val="0"/>
        <u val="none"/>
        <sz val="11"/>
        <color theme="4"/>
      </font>
      <numFmt numFmtId="0" formatCode="General"/>
      <fill>
        <patternFill patternType="none"/>
      </fill>
      <alignment horizontal="center" vertical="center"/>
      <border>
        <left/>
        <right/>
        <top style="thin">
          <color theme="4" tint="0.399914548173467"/>
        </top>
        <bottom style="thin">
          <color theme="4" tint="0.399914548173467"/>
        </bottom>
      </border>
    </dxf>
    <dxf>
      <font>
        <name val="微软雅黑"/>
        <scheme val="none"/>
        <charset val="134"/>
        <b val="1"/>
        <i val="0"/>
        <strike val="0"/>
        <u val="none"/>
        <sz val="11"/>
        <color theme="4"/>
      </font>
      <fill>
        <patternFill patternType="none"/>
      </fill>
      <alignment horizontal="center" vertical="center"/>
      <border>
        <left/>
        <right/>
        <top style="thin">
          <color theme="4" tint="0.399914548173467"/>
        </top>
        <bottom style="thin">
          <color theme="4" tint="0.399914548173467"/>
        </bottom>
      </border>
    </dxf>
    <dxf>
      <font>
        <name val="微软雅黑"/>
        <scheme val="none"/>
        <charset val="134"/>
        <b val="1"/>
        <i val="0"/>
        <strike val="0"/>
        <u val="none"/>
        <sz val="11"/>
        <color theme="4"/>
      </font>
      <numFmt numFmtId="0" formatCode="General"/>
      <fill>
        <patternFill patternType="none"/>
      </fill>
      <alignment horizontal="center" vertical="center"/>
      <border>
        <left/>
        <right/>
        <top style="thin">
          <color theme="4" tint="0.399914548173467"/>
        </top>
        <bottom style="thin">
          <color theme="4" tint="0.399914548173467"/>
        </bottom>
      </border>
    </dxf>
    <dxf>
      <font>
        <name val="微软雅黑"/>
        <scheme val="none"/>
        <charset val="134"/>
        <b val="1"/>
        <i val="0"/>
        <strike val="0"/>
        <u val="none"/>
        <sz val="11"/>
        <color theme="4"/>
      </font>
      <numFmt numFmtId="0" formatCode="General"/>
      <fill>
        <patternFill patternType="none"/>
      </fill>
      <alignment horizontal="center" vertical="center"/>
      <border>
        <left/>
        <right/>
        <top style="thin">
          <color theme="4" tint="0.399914548173467"/>
        </top>
        <bottom style="thin">
          <color theme="4" tint="0.399914548173467"/>
        </bottom>
      </border>
    </dxf>
    <dxf>
      <font>
        <name val="微软雅黑"/>
        <scheme val="none"/>
        <charset val="134"/>
        <b val="1"/>
        <i val="0"/>
        <strike val="0"/>
        <u val="none"/>
        <sz val="11"/>
        <color theme="4"/>
      </font>
      <numFmt numFmtId="0" formatCode="General"/>
      <fill>
        <patternFill patternType="none"/>
      </fill>
      <alignment horizontal="center" vertical="center"/>
      <border>
        <left/>
        <right/>
        <top style="thin">
          <color theme="4" tint="0.399914548173467"/>
        </top>
        <bottom style="thin">
          <color theme="4" tint="0.399914548173467"/>
        </bottom>
      </border>
    </dxf>
    <dxf>
      <font>
        <name val="微软雅黑"/>
        <scheme val="none"/>
        <charset val="134"/>
        <b val="1"/>
        <i val="0"/>
        <strike val="0"/>
        <u val="none"/>
        <sz val="11"/>
        <color theme="4"/>
      </font>
      <numFmt numFmtId="0" formatCode="General"/>
      <fill>
        <patternFill patternType="none"/>
      </fill>
      <alignment horizontal="center" vertical="center"/>
      <border>
        <left/>
        <right/>
        <top style="thin">
          <color theme="4" tint="0.399914548173467"/>
        </top>
        <bottom style="thin">
          <color theme="4" tint="0.399914548173467"/>
        </bottom>
      </border>
    </dxf>
    <dxf>
      <font>
        <name val="微软雅黑"/>
        <scheme val="none"/>
        <charset val="134"/>
        <b val="1"/>
        <i val="0"/>
        <strike val="0"/>
        <u val="none"/>
        <sz val="11"/>
        <color theme="4"/>
      </font>
      <numFmt numFmtId="0" formatCode="General"/>
      <fill>
        <patternFill patternType="none"/>
      </fill>
      <alignment horizontal="center" vertical="center"/>
      <border>
        <left/>
        <right/>
        <top style="thin">
          <color theme="4" tint="0.399914548173467"/>
        </top>
        <bottom style="thin">
          <color theme="4" tint="0.399914548173467"/>
        </bottom>
      </border>
    </dxf>
    <dxf>
      <font>
        <name val="微软雅黑"/>
        <scheme val="none"/>
        <charset val="134"/>
        <b val="1"/>
        <i val="0"/>
        <strike val="0"/>
        <u val="none"/>
        <sz val="11"/>
        <color theme="4"/>
      </font>
      <numFmt numFmtId="0" formatCode="General"/>
      <fill>
        <patternFill patternType="none"/>
      </fill>
      <alignment horizontal="center" vertical="center"/>
      <border>
        <left/>
        <right/>
        <top style="thin">
          <color theme="4" tint="0.399914548173467"/>
        </top>
        <bottom style="thin">
          <color theme="4" tint="0.399914548173467"/>
        </bottom>
      </border>
    </dxf>
    <dxf>
      <font>
        <name val="微软雅黑"/>
        <scheme val="none"/>
        <charset val="134"/>
        <b val="1"/>
        <i val="0"/>
        <strike val="0"/>
        <u val="none"/>
        <sz val="11"/>
        <color theme="4"/>
      </font>
      <numFmt numFmtId="0" formatCode="General"/>
      <fill>
        <patternFill patternType="none"/>
      </fill>
      <alignment horizontal="center" vertical="center"/>
      <border>
        <left/>
        <right/>
        <top style="thin">
          <color theme="4" tint="0.399914548173467"/>
        </top>
        <bottom style="thin">
          <color theme="4" tint="0.399914548173467"/>
        </bottom>
      </border>
    </dxf>
    <dxf>
      <font>
        <name val="微软雅黑"/>
        <scheme val="none"/>
        <charset val="134"/>
        <b val="1"/>
        <i val="0"/>
        <strike val="0"/>
        <u val="none"/>
        <sz val="11"/>
        <color theme="4"/>
      </font>
      <numFmt numFmtId="0" formatCode="General"/>
      <fill>
        <patternFill patternType="none"/>
      </fill>
      <alignment horizontal="center" vertical="center"/>
      <border>
        <left/>
        <right/>
        <top style="thin">
          <color theme="4" tint="0.399914548173467"/>
        </top>
        <bottom style="thin">
          <color theme="4" tint="0.399914548173467"/>
        </bottom>
      </border>
    </dxf>
    <dxf>
      <font>
        <name val="微软雅黑"/>
        <scheme val="none"/>
        <charset val="134"/>
        <b val="1"/>
        <i val="0"/>
        <strike val="0"/>
        <u val="none"/>
        <sz val="11"/>
        <color theme="4"/>
      </font>
      <numFmt numFmtId="0" formatCode="General"/>
      <fill>
        <patternFill patternType="none"/>
      </fill>
      <alignment horizontal="center" vertical="center"/>
      <border>
        <left/>
        <right/>
        <top style="thin">
          <color theme="4" tint="0.399914548173467"/>
        </top>
        <bottom style="thin">
          <color theme="4" tint="0.399914548173467"/>
        </bottom>
      </border>
    </dxf>
    <dxf>
      <font>
        <name val="微软雅黑"/>
        <scheme val="none"/>
        <charset val="134"/>
        <b val="1"/>
        <i val="0"/>
        <strike val="0"/>
        <u val="none"/>
        <sz val="11"/>
        <color theme="4"/>
      </font>
      <numFmt numFmtId="0" formatCode="General"/>
      <fill>
        <patternFill patternType="none"/>
      </fill>
      <alignment horizontal="center" vertical="center"/>
      <border>
        <left/>
        <right/>
        <top style="thin">
          <color theme="4" tint="0.399914548173467"/>
        </top>
        <bottom style="thin">
          <color theme="4" tint="0.399914548173467"/>
        </bottom>
      </border>
    </dxf>
    <dxf>
      <font>
        <name val="微软雅黑"/>
        <scheme val="none"/>
        <charset val="134"/>
        <b val="1"/>
        <i val="0"/>
        <strike val="0"/>
        <u val="none"/>
        <sz val="11"/>
        <color theme="4"/>
      </font>
      <numFmt numFmtId="0" formatCode="General"/>
      <fill>
        <patternFill patternType="none"/>
      </fill>
      <alignment horizontal="center" vertical="center"/>
      <border>
        <left/>
        <right/>
        <top style="thin">
          <color theme="4" tint="0.399914548173467"/>
        </top>
        <bottom style="thin">
          <color theme="4" tint="0.399914548173467"/>
        </bottom>
      </border>
    </dxf>
    <dxf>
      <font>
        <name val="微软雅黑"/>
        <scheme val="none"/>
        <charset val="134"/>
        <b val="1"/>
        <i val="0"/>
        <strike val="0"/>
        <u val="none"/>
        <sz val="11"/>
        <color theme="4"/>
      </font>
      <numFmt numFmtId="0" formatCode="General"/>
      <fill>
        <patternFill patternType="none"/>
      </fill>
      <alignment horizontal="center" vertical="center"/>
      <border>
        <left/>
        <right/>
        <top style="thin">
          <color theme="4" tint="0.399914548173467"/>
        </top>
        <bottom style="thin">
          <color theme="4" tint="0.399914548173467"/>
        </bottom>
      </border>
    </dxf>
    <dxf>
      <font>
        <name val="微软雅黑"/>
        <scheme val="none"/>
        <charset val="134"/>
        <b val="1"/>
        <i val="0"/>
        <strike val="0"/>
        <u val="none"/>
        <sz val="11"/>
        <color theme="4"/>
      </font>
      <numFmt numFmtId="0" formatCode="General"/>
      <fill>
        <patternFill patternType="none"/>
      </fill>
      <alignment horizontal="center" vertical="center"/>
      <border>
        <left/>
        <right/>
        <top style="thin">
          <color theme="4" tint="0.399914548173467"/>
        </top>
        <bottom style="thin">
          <color theme="4" tint="0.399914548173467"/>
        </bottom>
      </border>
    </dxf>
    <dxf>
      <font>
        <name val="微软雅黑"/>
        <scheme val="none"/>
        <charset val="134"/>
        <b val="1"/>
        <i val="0"/>
        <strike val="0"/>
        <u val="none"/>
        <sz val="11"/>
        <color theme="4"/>
      </font>
      <numFmt numFmtId="0" formatCode="General"/>
      <fill>
        <patternFill patternType="none"/>
      </fill>
      <alignment horizontal="center" vertical="center"/>
      <border>
        <left/>
        <right/>
        <top style="thin">
          <color theme="4" tint="0.399914548173467"/>
        </top>
        <bottom style="thin">
          <color theme="4" tint="0.399914548173467"/>
        </bottom>
      </border>
    </dxf>
    <dxf>
      <font>
        <name val="微软雅黑"/>
        <scheme val="none"/>
        <charset val="134"/>
        <b val="1"/>
        <i val="0"/>
        <strike val="0"/>
        <u val="none"/>
        <sz val="11"/>
        <color theme="4"/>
      </font>
      <numFmt numFmtId="0" formatCode="General"/>
      <fill>
        <patternFill patternType="none"/>
      </fill>
      <alignment horizontal="center" vertical="center"/>
      <border>
        <left/>
        <right/>
        <top style="thin">
          <color theme="4" tint="0.399914548173467"/>
        </top>
        <bottom style="thin">
          <color theme="4" tint="0.399914548173467"/>
        </bottom>
      </border>
    </dxf>
    <dxf>
      <font>
        <name val="微软雅黑"/>
        <scheme val="none"/>
        <charset val="134"/>
        <b val="1"/>
        <i val="0"/>
        <strike val="0"/>
        <u val="none"/>
        <sz val="11"/>
        <color theme="4"/>
      </font>
      <numFmt numFmtId="0" formatCode="General"/>
      <fill>
        <patternFill patternType="none"/>
      </fill>
      <alignment horizontal="center" vertical="center"/>
      <border>
        <left/>
        <right/>
        <top style="thin">
          <color theme="4" tint="0.399914548173467"/>
        </top>
        <bottom style="thin">
          <color theme="4" tint="0.399914548173467"/>
        </bottom>
      </border>
    </dxf>
    <dxf>
      <font>
        <name val="微软雅黑"/>
        <scheme val="none"/>
        <charset val="134"/>
        <b val="1"/>
        <i val="0"/>
        <strike val="0"/>
        <u val="none"/>
        <sz val="11"/>
        <color theme="4"/>
      </font>
      <numFmt numFmtId="177" formatCode="0_ "/>
      <fill>
        <patternFill patternType="none"/>
      </fill>
      <alignment horizontal="center" vertical="center"/>
      <border>
        <left/>
        <right/>
        <top style="thin">
          <color theme="4" tint="0.399914548173467"/>
        </top>
        <bottom style="thin">
          <color theme="4" tint="0.399914548173467"/>
        </bottom>
      </bord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numFmt numFmtId="177" formatCode="0_ "/>
      <fill>
        <patternFill patternType="none"/>
      </fill>
      <alignment horizontal="center" vertical="center"/>
    </dxf>
    <dxf>
      <font>
        <name val="微软雅黑"/>
        <scheme val="none"/>
        <charset val="134"/>
        <b val="0"/>
        <i val="0"/>
        <strike val="0"/>
        <u val="none"/>
        <sz val="10"/>
        <color theme="1"/>
      </font>
      <numFmt numFmtId="177" formatCode="0_ "/>
      <fill>
        <patternFill patternType="none"/>
      </fill>
      <alignment horizontal="center" vertical="center"/>
    </dxf>
    <dxf>
      <font>
        <name val="微软雅黑"/>
        <scheme val="none"/>
        <charset val="134"/>
        <b val="0"/>
        <i val="0"/>
        <strike val="0"/>
        <u val="none"/>
        <sz val="10"/>
        <color theme="1"/>
      </font>
      <numFmt numFmtId="177" formatCode="0_ "/>
      <fill>
        <patternFill patternType="none"/>
      </fill>
      <alignment horizontal="center" vertical="center"/>
    </dxf>
    <dxf>
      <font>
        <name val="微软雅黑"/>
        <scheme val="none"/>
        <charset val="134"/>
        <b val="0"/>
        <i val="0"/>
        <strike val="0"/>
        <u val="none"/>
        <sz val="10"/>
        <color theme="1"/>
      </font>
      <numFmt numFmtId="177" formatCode="0_ "/>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numFmt numFmtId="182" formatCode="0_);[Red]\(0\)"/>
      <fill>
        <patternFill patternType="none"/>
      </fill>
      <alignment horizontal="center" vertical="center"/>
    </dxf>
    <dxf>
      <font>
        <name val="微软雅黑"/>
        <scheme val="none"/>
        <charset val="134"/>
        <b val="0"/>
        <i val="0"/>
        <strike val="0"/>
        <u val="none"/>
        <sz val="10"/>
        <color theme="1"/>
      </font>
      <numFmt numFmtId="182" formatCode="0_);[Red]\(0\)"/>
      <fill>
        <patternFill patternType="none"/>
      </fill>
      <alignment horizontal="center" vertical="center"/>
    </dxf>
    <dxf>
      <font>
        <name val="微软雅黑"/>
        <scheme val="none"/>
        <charset val="134"/>
        <b val="0"/>
        <i val="0"/>
        <strike val="0"/>
        <u val="none"/>
        <sz val="10"/>
        <color theme="1"/>
      </font>
      <numFmt numFmtId="182" formatCode="0_);[Red]\(0\)"/>
      <fill>
        <patternFill patternType="none"/>
      </fill>
      <alignment horizontal="center" vertical="center"/>
    </dxf>
    <dxf>
      <font>
        <name val="微软雅黑"/>
        <scheme val="none"/>
        <charset val="134"/>
        <b val="0"/>
        <i val="0"/>
        <strike val="0"/>
        <u val="none"/>
        <sz val="10"/>
        <color theme="1"/>
      </font>
      <numFmt numFmtId="182" formatCode="0_);[Red]\(0\)"/>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numFmt numFmtId="182" formatCode="0_);[Red]\(0\)"/>
      <fill>
        <patternFill patternType="none"/>
      </fill>
      <alignment horizontal="center" vertical="center"/>
    </dxf>
    <dxf>
      <font>
        <name val="微软雅黑"/>
        <scheme val="none"/>
        <charset val="134"/>
        <b val="0"/>
        <i val="0"/>
        <strike val="0"/>
        <u val="none"/>
        <sz val="10"/>
        <color theme="1"/>
      </font>
      <numFmt numFmtId="182" formatCode="0_);[Red]\(0\)"/>
      <fill>
        <patternFill patternType="none"/>
      </fill>
      <alignment horizontal="center" vertical="center"/>
    </dxf>
    <dxf>
      <font>
        <name val="微软雅黑"/>
        <scheme val="none"/>
        <charset val="134"/>
        <b val="0"/>
        <i val="0"/>
        <strike val="0"/>
        <u val="none"/>
        <sz val="10"/>
        <color theme="1"/>
      </font>
      <numFmt numFmtId="182" formatCode="0_);[Red]\(0\)"/>
      <fill>
        <patternFill patternType="none"/>
      </fill>
      <alignment horizontal="center" vertical="center"/>
    </dxf>
    <dxf>
      <font>
        <name val="微软雅黑"/>
        <scheme val="none"/>
        <charset val="134"/>
        <b val="0"/>
        <i val="0"/>
        <strike val="0"/>
        <u val="none"/>
        <sz val="10"/>
        <color theme="1"/>
      </font>
      <numFmt numFmtId="182" formatCode="0_);[Red]\(0\)"/>
      <fill>
        <patternFill patternType="none"/>
      </fill>
      <alignment horizontal="center" vertical="center"/>
    </dxf>
    <dxf>
      <font>
        <name val="微软雅黑"/>
        <scheme val="none"/>
        <charset val="134"/>
        <b val="0"/>
        <i val="0"/>
        <strike val="0"/>
        <u val="none"/>
        <sz val="10"/>
        <color theme="1"/>
      </font>
      <numFmt numFmtId="182" formatCode="0_);[Red]\(0\)"/>
      <fill>
        <patternFill patternType="none"/>
      </fill>
      <alignment horizontal="center" vertical="center"/>
    </dxf>
    <dxf>
      <font>
        <name val="微软雅黑"/>
        <scheme val="none"/>
        <charset val="134"/>
        <b val="0"/>
        <i val="0"/>
        <strike val="0"/>
        <u val="none"/>
        <sz val="10"/>
        <color theme="1"/>
      </font>
      <numFmt numFmtId="182" formatCode="0_);[Red]\(0\)"/>
      <fill>
        <patternFill patternType="none"/>
      </fill>
      <alignment horizontal="center" vertical="center"/>
    </dxf>
    <dxf>
      <font>
        <name val="微软雅黑"/>
        <scheme val="none"/>
        <charset val="134"/>
        <b val="0"/>
        <i val="0"/>
        <strike val="0"/>
        <u val="none"/>
        <sz val="10"/>
        <color theme="1"/>
      </font>
      <numFmt numFmtId="182" formatCode="0_);[Red]\(0\)"/>
      <fill>
        <patternFill patternType="none"/>
      </fill>
      <alignment horizontal="center" vertical="center"/>
    </dxf>
    <dxf>
      <font>
        <name val="微软雅黑"/>
        <scheme val="none"/>
        <charset val="134"/>
        <b val="0"/>
        <i val="0"/>
        <strike val="0"/>
        <u val="none"/>
        <sz val="10"/>
        <color theme="1"/>
      </font>
      <numFmt numFmtId="182" formatCode="0_);[Red]\(0\)"/>
      <fill>
        <patternFill patternType="none"/>
      </fill>
      <alignment horizontal="center" vertical="center"/>
    </dxf>
    <dxf>
      <font>
        <name val="微软雅黑"/>
        <scheme val="none"/>
        <charset val="134"/>
        <b val="0"/>
        <i val="0"/>
        <strike val="0"/>
        <u val="none"/>
        <sz val="10"/>
        <color theme="1"/>
      </font>
      <numFmt numFmtId="182" formatCode="0_);[Red]\(0\)"/>
      <fill>
        <patternFill patternType="none"/>
      </fill>
      <alignment horizontal="center" vertical="center"/>
    </dxf>
    <dxf>
      <font>
        <name val="微软雅黑"/>
        <scheme val="none"/>
        <charset val="134"/>
        <b val="0"/>
        <i val="0"/>
        <strike val="0"/>
        <u val="none"/>
        <sz val="10"/>
        <color theme="1"/>
      </font>
      <numFmt numFmtId="182" formatCode="0_);[Red]\(0\)"/>
      <fill>
        <patternFill patternType="none"/>
      </fill>
      <alignment horizontal="center" vertical="center"/>
    </dxf>
    <dxf>
      <font>
        <name val="微软雅黑"/>
        <scheme val="none"/>
        <charset val="134"/>
        <b val="0"/>
        <i val="0"/>
        <strike val="0"/>
        <u val="none"/>
        <sz val="10"/>
        <color theme="1"/>
      </font>
      <numFmt numFmtId="182" formatCode="0_);[Red]\(0\)"/>
      <fill>
        <patternFill patternType="none"/>
      </fill>
      <alignment horizontal="center" vertical="center"/>
    </dxf>
    <dxf>
      <font>
        <name val="微软雅黑"/>
        <scheme val="none"/>
        <charset val="134"/>
        <b val="0"/>
        <i val="0"/>
        <strike val="0"/>
        <u val="none"/>
        <sz val="10"/>
        <color theme="1"/>
      </font>
      <numFmt numFmtId="182" formatCode="0_);[Red]\(0\)"/>
      <fill>
        <patternFill patternType="none"/>
      </fill>
      <alignment horizontal="center" vertical="center"/>
    </dxf>
    <dxf>
      <font>
        <name val="微软雅黑"/>
        <scheme val="none"/>
        <charset val="134"/>
        <b val="0"/>
        <i val="0"/>
        <strike val="0"/>
        <u val="none"/>
        <sz val="10"/>
        <color theme="1"/>
      </font>
      <numFmt numFmtId="182" formatCode="0_);[Red]\(0\)"/>
      <fill>
        <patternFill patternType="none"/>
      </fill>
      <alignment horizontal="center" vertical="center"/>
    </dxf>
    <dxf>
      <font>
        <name val="微软雅黑"/>
        <scheme val="none"/>
        <charset val="134"/>
        <b val="0"/>
        <i val="0"/>
        <strike val="0"/>
        <u val="none"/>
        <sz val="10"/>
        <color theme="1"/>
      </font>
      <numFmt numFmtId="182" formatCode="0_);[Red]\(0\)"/>
      <fill>
        <patternFill patternType="none"/>
      </fill>
      <alignment horizontal="center" vertical="center"/>
    </dxf>
    <dxf>
      <font>
        <name val="微软雅黑"/>
        <scheme val="none"/>
        <charset val="134"/>
        <b val="0"/>
        <i val="0"/>
        <strike val="0"/>
        <u val="none"/>
        <sz val="10"/>
        <color theme="1"/>
      </font>
      <numFmt numFmtId="182" formatCode="0_);[Red]\(0\)"/>
      <fill>
        <patternFill patternType="none"/>
      </fill>
      <alignment horizontal="center" vertical="center"/>
    </dxf>
    <dxf>
      <font>
        <name val="微软雅黑"/>
        <scheme val="none"/>
        <charset val="134"/>
        <b val="0"/>
        <i val="0"/>
        <strike val="0"/>
        <u val="none"/>
        <sz val="10"/>
        <color theme="1"/>
      </font>
      <numFmt numFmtId="182" formatCode="0_);[Red]\(0\)"/>
      <fill>
        <patternFill patternType="none"/>
      </fill>
      <alignment horizontal="center" vertical="center"/>
    </dxf>
    <dxf>
      <font>
        <name val="微软雅黑"/>
        <scheme val="none"/>
        <charset val="134"/>
        <b val="0"/>
        <i val="0"/>
        <strike val="0"/>
        <u val="none"/>
        <sz val="10"/>
        <color theme="1"/>
      </font>
      <numFmt numFmtId="182" formatCode="0_);[Red]\(0\)"/>
      <fill>
        <patternFill patternType="none"/>
      </fill>
      <alignment horizontal="center" vertical="center"/>
    </dxf>
    <dxf>
      <font>
        <name val="微软雅黑"/>
        <scheme val="none"/>
        <charset val="134"/>
        <b val="0"/>
        <i val="0"/>
        <strike val="0"/>
        <u val="none"/>
        <sz val="10"/>
        <color theme="1"/>
      </font>
      <numFmt numFmtId="182" formatCode="0_);[Red]\(0\)"/>
      <fill>
        <patternFill patternType="none"/>
      </fill>
      <alignment horizontal="center" vertical="center"/>
    </dxf>
    <dxf>
      <font>
        <name val="微软雅黑"/>
        <scheme val="none"/>
        <charset val="134"/>
        <b val="0"/>
        <i val="0"/>
        <strike val="0"/>
        <u val="none"/>
        <sz val="10"/>
        <color theme="1"/>
      </font>
      <numFmt numFmtId="182" formatCode="0_);[Red]\(0\)"/>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fill>
        <patternFill patternType="none"/>
      </fill>
      <alignment horizontal="center" vertical="center"/>
    </dxf>
    <dxf>
      <font>
        <name val="微软雅黑"/>
        <scheme val="none"/>
        <charset val="134"/>
        <b val="0"/>
        <i val="0"/>
        <strike val="0"/>
        <u val="none"/>
        <sz val="10"/>
        <color theme="1"/>
      </font>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numFmt numFmtId="9" formatCode="0%"/>
      <fill>
        <patternFill patternType="solid">
          <bgColor rgb="FFFFFF00"/>
        </patternFill>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numFmt numFmtId="9" formatCode="0%"/>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numFmt numFmtId="9" formatCode="0%"/>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numFmt numFmtId="9" formatCode="0%"/>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numFmt numFmtId="9" formatCode="0%"/>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numFmt numFmtId="9" formatCode="0%"/>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fill>
        <patternFill patternType="none"/>
      </fill>
      <alignment horizontal="left"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fill>
        <patternFill patternType="none"/>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alignment horizontal="center" vertical="center"/>
      <border>
        <left style="thin">
          <color auto="1"/>
        </left>
        <right style="thin">
          <color auto="1"/>
        </right>
        <top style="thin">
          <color auto="1"/>
        </top>
        <bottom style="thin">
          <color auto="1"/>
        </bottom>
      </border>
    </dxf>
    <dxf>
      <font>
        <name val="等线"/>
        <scheme val="none"/>
        <charset val="134"/>
        <b val="0"/>
        <i val="0"/>
        <strike val="0"/>
        <u val="none"/>
        <sz val="10"/>
        <color theme="1"/>
      </font>
    </dxf>
    <dxf>
      <font>
        <name val="等线"/>
        <scheme val="none"/>
        <charset val="134"/>
        <b val="0"/>
        <i val="0"/>
        <strike val="0"/>
        <u val="none"/>
        <sz val="10"/>
        <color theme="1"/>
      </font>
    </dxf>
    <dxf>
      <font>
        <name val="等线"/>
        <scheme val="none"/>
        <charset val="134"/>
        <b val="0"/>
        <i val="0"/>
        <strike val="0"/>
        <u val="none"/>
        <sz val="10"/>
        <color theme="1"/>
      </font>
    </dxf>
    <dxf>
      <font>
        <name val="微软雅黑"/>
        <scheme val="none"/>
        <charset val="134"/>
        <b val="0"/>
        <i val="0"/>
        <strike val="0"/>
        <u val="none"/>
        <sz val="10"/>
        <color theme="1"/>
      </font>
      <fill>
        <patternFill patternType="none"/>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fill>
        <patternFill patternType="none"/>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fill>
        <patternFill patternType="none"/>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fill>
        <patternFill patternType="none"/>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numFmt numFmtId="9" formatCode="0%"/>
      <alignment horizontal="center" vertical="center"/>
    </dxf>
    <dxf>
      <font>
        <name val="微软雅黑"/>
        <scheme val="none"/>
        <charset val="134"/>
        <b val="1"/>
        <i val="0"/>
        <strike val="0"/>
        <u val="none"/>
        <sz val="10"/>
        <color theme="4"/>
      </font>
      <numFmt numFmtId="177" formatCode="0_ "/>
      <alignment horizontal="center" vertical="center"/>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numFmt numFmtId="177" formatCode="0_ "/>
      <alignment horizontal="center" vertical="center"/>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numFmt numFmtId="9" formatCode="0%"/>
      <alignment horizontal="center" vertical="center"/>
    </dxf>
    <dxf>
      <font>
        <name val="微软雅黑"/>
        <scheme val="none"/>
        <charset val="134"/>
        <b val="1"/>
        <i val="0"/>
        <strike val="0"/>
        <u val="none"/>
        <sz val="10"/>
        <color theme="4"/>
      </font>
      <alignment horizontal="center" vertical="center"/>
    </dxf>
    <dxf>
      <font>
        <name val="微软雅黑"/>
        <scheme val="none"/>
        <charset val="134"/>
        <b val="1"/>
        <i val="0"/>
        <strike val="0"/>
        <u val="none"/>
        <sz val="10"/>
        <color rgb="FFFF0000"/>
      </font>
      <alignment horizontal="center" vertical="center"/>
    </dxf>
    <dxf>
      <font>
        <name val="微软雅黑"/>
        <scheme val="none"/>
        <charset val="134"/>
        <b val="0"/>
        <i val="0"/>
        <strike val="0"/>
        <u val="none"/>
        <sz val="10"/>
        <color theme="1"/>
      </font>
      <numFmt numFmtId="177" formatCode="0_ "/>
      <fill>
        <patternFill patternType="solid">
          <bgColor theme="2" tint="-0.5"/>
        </patternFill>
      </fill>
      <alignment horizontal="center" vertical="center"/>
    </dxf>
    <dxf>
      <font>
        <name val="微软雅黑"/>
        <scheme val="none"/>
        <charset val="134"/>
        <b val="0"/>
        <i val="0"/>
        <strike val="0"/>
        <u val="none"/>
        <sz val="10"/>
        <color theme="1"/>
      </font>
      <fill>
        <patternFill patternType="solid">
          <bgColor theme="2" tint="-0.5"/>
        </patternFill>
      </fill>
      <alignment horizontal="center" vertical="center"/>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numFmt numFmtId="177" formatCode="0_ "/>
      <alignment horizontal="center" vertical="center"/>
    </dxf>
    <dxf>
      <font>
        <name val="微软雅黑"/>
        <scheme val="none"/>
        <charset val="134"/>
        <b val="0"/>
        <i val="0"/>
        <strike val="0"/>
        <u val="none"/>
        <sz val="10"/>
        <color theme="1"/>
      </font>
      <numFmt numFmtId="0" formatCode="General"/>
      <alignment horizontal="center" vertical="center"/>
    </dxf>
    <dxf>
      <font>
        <name val="微软雅黑"/>
        <scheme val="none"/>
        <charset val="134"/>
        <b val="0"/>
        <i val="0"/>
        <strike val="0"/>
        <u val="none"/>
        <sz val="10"/>
        <color theme="1"/>
      </font>
      <alignment horizontal="center" vertical="center"/>
    </dxf>
    <dxf>
      <numFmt numFmtId="0" formatCode="General"/>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numFmt numFmtId="9" formatCode="0%"/>
      <alignment horizontal="center" vertical="center"/>
    </dxf>
    <dxf>
      <font>
        <name val="微软雅黑"/>
        <scheme val="none"/>
        <charset val="134"/>
        <b val="0"/>
        <i val="0"/>
        <strike val="0"/>
        <u val="none"/>
        <sz val="10"/>
        <color theme="1"/>
      </font>
      <numFmt numFmtId="9" formatCode="0%"/>
      <alignment horizontal="center" vertical="center"/>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numFmt numFmtId="9" formatCode="0%"/>
      <alignment horizontal="center" vertical="center"/>
    </dxf>
    <dxf>
      <font>
        <name val="微软雅黑"/>
        <scheme val="none"/>
        <charset val="134"/>
        <b val="0"/>
        <i val="0"/>
        <strike val="0"/>
        <u val="none"/>
        <sz val="10"/>
        <color theme="1"/>
      </font>
      <numFmt numFmtId="9" formatCode="0%"/>
      <alignment horizontal="center" vertical="center"/>
    </dxf>
    <dxf>
      <font>
        <name val="微软雅黑"/>
        <scheme val="none"/>
        <charset val="134"/>
        <b val="0"/>
        <i val="0"/>
        <strike val="0"/>
        <u val="none"/>
        <sz val="10"/>
        <color theme="1"/>
      </font>
      <numFmt numFmtId="9" formatCode="0%"/>
      <alignment horizontal="center" vertical="center"/>
    </dxf>
    <dxf>
      <font>
        <name val="微软雅黑"/>
        <scheme val="none"/>
        <charset val="134"/>
        <b val="0"/>
        <i val="0"/>
        <strike val="0"/>
        <u val="none"/>
        <sz val="10"/>
        <color theme="1"/>
      </font>
      <alignment horizontal="center" vertical="center"/>
    </dxf>
    <dxf>
      <font>
        <name val="等线"/>
        <scheme val="none"/>
        <charset val="134"/>
        <b val="0"/>
        <i val="0"/>
        <strike val="0"/>
        <u val="none"/>
        <sz val="10"/>
        <color theme="1"/>
      </font>
    </dxf>
    <dxf>
      <font>
        <name val="等线"/>
        <scheme val="none"/>
        <charset val="134"/>
        <b val="0"/>
        <i val="0"/>
        <strike val="0"/>
        <u val="none"/>
        <sz val="10"/>
        <color theme="1"/>
      </font>
    </dxf>
    <dxf>
      <font>
        <name val="微软雅黑"/>
        <scheme val="none"/>
        <charset val="134"/>
        <b val="0"/>
        <i val="0"/>
        <strike val="0"/>
        <u val="none"/>
        <sz val="10"/>
        <color theme="1"/>
      </font>
      <numFmt numFmtId="182" formatCode="0_);[Red]\(0\)"/>
      <alignment horizontal="center" vertical="center"/>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numFmt numFmtId="177" formatCode="0_ "/>
      <alignment horizontal="center" vertical="center"/>
    </dxf>
    <dxf>
      <font>
        <name val="微软雅黑"/>
        <scheme val="none"/>
        <charset val="134"/>
        <b val="0"/>
        <i val="0"/>
        <strike val="0"/>
        <u val="none"/>
        <sz val="10"/>
        <color theme="1"/>
      </font>
      <numFmt numFmtId="177" formatCode="0_ "/>
      <alignment horizontal="center" vertical="center"/>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numFmt numFmtId="181" formatCode="0.00_ "/>
      <alignment horizontal="center" vertical="center"/>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numFmt numFmtId="182" formatCode="0_);[Red]\(0\)"/>
      <alignment horizontal="center" vertical="center"/>
    </dxf>
    <dxf>
      <font>
        <name val="微软雅黑"/>
        <scheme val="none"/>
        <charset val="134"/>
        <b val="0"/>
        <i val="0"/>
        <strike val="0"/>
        <u val="none"/>
        <sz val="10"/>
        <color theme="1"/>
      </font>
      <numFmt numFmtId="176" formatCode="0.00_);[Red]\(0.00\)"/>
      <alignment horizontal="center" vertical="center"/>
    </dxf>
    <dxf>
      <font>
        <name val="微软雅黑"/>
        <scheme val="none"/>
        <charset val="134"/>
        <b val="0"/>
        <i val="0"/>
        <strike val="0"/>
        <u val="none"/>
        <sz val="10"/>
        <color theme="1"/>
      </font>
      <alignment horizontal="center" vertical="center"/>
    </dxf>
    <dxf>
      <font>
        <name val="微软雅黑"/>
        <scheme val="none"/>
        <charset val="134"/>
        <b val="1"/>
        <i val="0"/>
        <strike val="0"/>
        <u val="none"/>
        <sz val="10"/>
        <color theme="9"/>
      </font>
      <numFmt numFmtId="176" formatCode="0.00_);[Red]\(0.00\)"/>
      <alignment horizontal="center" vertical="center"/>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numFmt numFmtId="9" formatCode="0%"/>
      <alignment horizontal="center" vertical="center"/>
    </dxf>
    <dxf>
      <font>
        <name val="微软雅黑"/>
        <scheme val="none"/>
        <charset val="134"/>
        <b val="1"/>
        <i val="0"/>
        <strike val="0"/>
        <u val="none"/>
        <sz val="10"/>
        <color theme="9"/>
      </font>
      <numFmt numFmtId="176" formatCode="0.00_);[Red]\(0.00\)"/>
      <alignment horizontal="center" vertical="center"/>
    </dxf>
    <dxf>
      <font>
        <name val="微软雅黑"/>
        <scheme val="none"/>
        <charset val="134"/>
        <b val="0"/>
        <i val="0"/>
        <strike val="0"/>
        <u val="none"/>
        <sz val="10"/>
        <color theme="1"/>
      </font>
      <numFmt numFmtId="9" formatCode="0%"/>
      <alignment horizontal="center" vertical="center"/>
    </dxf>
    <dxf>
      <font>
        <name val="微软雅黑"/>
        <scheme val="none"/>
        <charset val="134"/>
        <b val="0"/>
        <i val="0"/>
        <strike val="0"/>
        <u val="none"/>
        <sz val="10"/>
        <color theme="1"/>
      </font>
      <numFmt numFmtId="0" formatCode="General"/>
      <alignment horizontal="center" vertical="center"/>
    </dxf>
    <dxf>
      <font>
        <name val="微软雅黑"/>
        <scheme val="none"/>
        <charset val="134"/>
        <b val="0"/>
        <i val="0"/>
        <strike val="0"/>
        <u val="none"/>
        <sz val="10"/>
        <color theme="1"/>
      </font>
      <numFmt numFmtId="9" formatCode="0%"/>
      <alignment horizontal="center" vertical="center"/>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numFmt numFmtId="182" formatCode="0_);[Red]\(0\)"/>
      <alignment horizontal="center" vertical="center"/>
    </dxf>
    <dxf>
      <font>
        <name val="微软雅黑"/>
        <scheme val="none"/>
        <charset val="134"/>
        <b val="0"/>
        <i val="0"/>
        <strike val="0"/>
        <u val="none"/>
        <sz val="10"/>
        <color theme="1"/>
      </font>
      <numFmt numFmtId="9" formatCode="0%"/>
      <alignment horizontal="center" vertical="center"/>
    </dxf>
    <dxf>
      <font>
        <name val="微软雅黑"/>
        <scheme val="none"/>
        <charset val="134"/>
        <b val="0"/>
        <i val="0"/>
        <strike val="0"/>
        <u val="none"/>
        <sz val="10"/>
        <color theme="1"/>
      </font>
      <numFmt numFmtId="9" formatCode="0%"/>
      <alignment horizontal="center" vertical="center"/>
    </dxf>
    <dxf>
      <font>
        <name val="微软雅黑"/>
        <scheme val="none"/>
        <charset val="134"/>
        <b val="0"/>
        <i val="0"/>
        <strike val="0"/>
        <u val="none"/>
        <sz val="10"/>
        <color theme="1"/>
      </font>
      <numFmt numFmtId="9" formatCode="0%"/>
      <alignment horizontal="center" vertical="center"/>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numFmt numFmtId="179" formatCode="0.0_ "/>
      <alignment horizontal="center" vertical="center"/>
    </dxf>
    <dxf>
      <font>
        <name val="微软雅黑"/>
        <scheme val="none"/>
        <charset val="134"/>
        <b val="0"/>
        <i val="0"/>
        <strike val="0"/>
        <u val="none"/>
        <sz val="10"/>
        <color theme="1"/>
      </font>
      <numFmt numFmtId="179" formatCode="0.0_ "/>
      <alignment horizontal="center" vertical="center"/>
    </dxf>
    <dxf>
      <font>
        <name val="微软雅黑"/>
        <scheme val="none"/>
        <charset val="134"/>
        <b val="0"/>
        <i val="0"/>
        <strike val="0"/>
        <u val="none"/>
        <sz val="10"/>
        <color theme="1"/>
      </font>
      <numFmt numFmtId="179" formatCode="0.0_ "/>
      <alignment horizontal="center" vertical="center"/>
    </dxf>
    <dxf>
      <font>
        <name val="微软雅黑"/>
        <scheme val="none"/>
        <charset val="134"/>
        <b val="0"/>
        <i val="0"/>
        <strike val="0"/>
        <u val="none"/>
        <sz val="10"/>
        <color theme="1"/>
      </font>
      <numFmt numFmtId="179" formatCode="0.0_ "/>
      <alignment horizontal="center" vertical="center"/>
    </dxf>
    <dxf>
      <font>
        <name val="微软雅黑"/>
        <scheme val="none"/>
        <charset val="134"/>
        <b val="0"/>
        <i val="0"/>
        <strike val="0"/>
        <u val="none"/>
        <sz val="10"/>
        <color theme="1"/>
      </font>
      <numFmt numFmtId="179" formatCode="0.0_ "/>
      <alignment horizontal="center" vertical="center"/>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numFmt numFmtId="176" formatCode="0.00_);[Red]\(0.00\)"/>
      <fill>
        <patternFill patternType="solid">
          <bgColor rgb="FFFFFF00"/>
        </patternFill>
      </fill>
      <alignment horizontal="center" vertical="center"/>
    </dxf>
    <dxf>
      <font>
        <name val="微软雅黑"/>
        <scheme val="none"/>
        <charset val="134"/>
        <b val="0"/>
        <i val="0"/>
        <strike val="0"/>
        <u val="none"/>
        <sz val="10"/>
        <color theme="1"/>
      </font>
      <numFmt numFmtId="176" formatCode="0.00_);[Red]\(0.00\)"/>
      <fill>
        <patternFill patternType="solid">
          <bgColor rgb="FFFFFF00"/>
        </patternFill>
      </fill>
      <alignment horizontal="center" vertical="center"/>
    </dxf>
    <dxf>
      <font>
        <name val="微软雅黑"/>
        <scheme val="none"/>
        <charset val="134"/>
        <b val="0"/>
        <i val="0"/>
        <strike val="0"/>
        <u val="none"/>
        <sz val="10"/>
        <color theme="1"/>
      </font>
      <numFmt numFmtId="176" formatCode="0.00_);[Red]\(0.00\)"/>
      <fill>
        <patternFill patternType="solid">
          <bgColor rgb="FFFFFF00"/>
        </patternFill>
      </fill>
      <alignment horizontal="center" vertical="center"/>
    </dxf>
    <dxf>
      <font>
        <name val="微软雅黑"/>
        <scheme val="none"/>
        <charset val="134"/>
        <b val="0"/>
        <i val="0"/>
        <strike val="0"/>
        <u val="none"/>
        <sz val="10"/>
        <color theme="1"/>
      </font>
      <numFmt numFmtId="176" formatCode="0.00_);[Red]\(0.00\)"/>
      <fill>
        <patternFill patternType="solid">
          <bgColor rgb="FFFFFF00"/>
        </patternFill>
      </fill>
      <alignment horizontal="center" vertical="center"/>
    </dxf>
    <dxf>
      <font>
        <name val="微软雅黑"/>
        <scheme val="none"/>
        <charset val="134"/>
        <b val="0"/>
        <i val="0"/>
        <strike val="0"/>
        <u val="none"/>
        <sz val="10"/>
        <color theme="1"/>
      </font>
      <numFmt numFmtId="176" formatCode="0.00_);[Red]\(0.00\)"/>
      <fill>
        <patternFill patternType="solid">
          <bgColor rgb="FFFFFF00"/>
        </patternFill>
      </fill>
      <alignment horizontal="center" vertical="center"/>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alignment horizontal="center" vertical="center"/>
    </dxf>
    <dxf>
      <font>
        <name val="微软雅黑"/>
        <scheme val="none"/>
        <charset val="134"/>
        <b val="0"/>
        <i val="0"/>
        <strike val="0"/>
        <u val="none"/>
        <sz val="10"/>
        <color theme="1"/>
      </font>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fill>
        <patternFill patternType="none"/>
      </fill>
      <alignment horizontal="center" vertical="center"/>
      <border>
        <left style="thin">
          <color auto="1"/>
        </left>
        <right style="thin">
          <color auto="1"/>
        </right>
        <top style="thin">
          <color auto="1"/>
        </top>
        <bottom style="thin">
          <color auto="1"/>
        </bottom>
      </border>
    </dxf>
    <dxf>
      <font>
        <name val="等线"/>
        <scheme val="none"/>
        <charset val="134"/>
        <b val="0"/>
        <i val="0"/>
        <strike val="0"/>
        <u val="none"/>
        <sz val="10"/>
        <color theme="1"/>
      </font>
    </dxf>
    <dxf>
      <font>
        <name val="等线"/>
        <scheme val="none"/>
        <charset val="134"/>
        <b val="0"/>
        <i val="0"/>
        <strike val="0"/>
        <u val="none"/>
        <sz val="10"/>
        <color theme="1"/>
      </font>
    </dxf>
    <dxf>
      <font>
        <name val="等线"/>
        <scheme val="none"/>
        <charset val="134"/>
        <b val="0"/>
        <i val="0"/>
        <strike val="0"/>
        <u val="none"/>
        <sz val="10"/>
        <color theme="1"/>
      </font>
    </dxf>
    <dxf>
      <font>
        <name val="微软雅黑"/>
        <scheme val="none"/>
        <charset val="134"/>
        <b val="0"/>
        <i val="0"/>
        <strike val="0"/>
        <u val="none"/>
        <sz val="10"/>
        <color theme="1"/>
      </font>
      <fill>
        <patternFill patternType="none"/>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fill>
        <patternFill patternType="none"/>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fill>
        <patternFill patternType="none"/>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fill>
        <patternFill patternType="none"/>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fill>
        <patternFill patternType="none"/>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fill>
        <patternFill patternType="none"/>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fill>
        <patternFill patternType="none"/>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fill>
        <patternFill patternType="none"/>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fill>
        <patternFill patternType="none"/>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fill>
        <patternFill patternType="none"/>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fill>
        <patternFill patternType="none"/>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fill>
        <patternFill patternType="none"/>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fill>
        <patternFill patternType="none"/>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fill>
        <patternFill patternType="none"/>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fill>
        <patternFill patternType="none"/>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fill>
        <patternFill patternType="none"/>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fill>
        <patternFill patternType="none"/>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0"/>
        <color theme="1"/>
      </font>
      <fill>
        <patternFill patternType="none"/>
      </fill>
      <alignment horizontal="center" vertical="center"/>
      <border>
        <left style="thin">
          <color auto="1"/>
        </left>
        <right style="thin">
          <color auto="1"/>
        </right>
        <top style="thin">
          <color auto="1"/>
        </top>
        <bottom style="thin">
          <color auto="1"/>
        </bottom>
      </border>
    </dxf>
    <dxf>
      <font>
        <name val="微软雅黑"/>
        <scheme val="none"/>
        <charset val="134"/>
        <b val="0"/>
        <i val="0"/>
        <strike val="0"/>
        <u val="none"/>
        <sz val="11"/>
        <color auto="1"/>
      </font>
      <fill>
        <patternFill patternType="solid">
          <bgColor rgb="FFFFFFFF"/>
        </patternFill>
      </fill>
      <alignment horizontal="center" vertical="center"/>
      <border>
        <left style="thin">
          <color rgb="FF000000"/>
        </left>
        <right style="thin">
          <color rgb="FF000000"/>
        </right>
        <top style="thin">
          <color rgb="FF000000"/>
        </top>
        <bottom style="thin">
          <color rgb="FF000000"/>
        </bottom>
      </border>
    </dxf>
    <dxf>
      <font>
        <name val="微软雅黑"/>
        <scheme val="none"/>
        <charset val="134"/>
        <b val="0"/>
        <i val="0"/>
        <strike val="0"/>
        <u val="none"/>
        <sz val="11"/>
        <color auto="1"/>
      </font>
      <fill>
        <patternFill patternType="solid">
          <bgColor rgb="FFFFFFFF"/>
        </patternFill>
      </fill>
      <alignment horizontal="center" vertical="center"/>
      <border>
        <left style="thin">
          <color rgb="FF000000"/>
        </left>
        <right style="thin">
          <color rgb="FF000000"/>
        </right>
        <top style="thin">
          <color rgb="FF000000"/>
        </top>
        <bottom style="thin">
          <color rgb="FF000000"/>
        </bottom>
      </border>
    </dxf>
    <dxf>
      <font>
        <name val="等线"/>
        <scheme val="none"/>
        <charset val="134"/>
        <b val="0"/>
        <i val="0"/>
        <strike val="0"/>
        <u val="none"/>
        <sz val="12"/>
        <color auto="1"/>
      </font>
      <alignment horizontal="center"/>
      <border>
        <left style="thin">
          <color rgb="FF000000"/>
        </left>
        <right style="thin">
          <color rgb="FF000000"/>
        </right>
        <top style="thin">
          <color rgb="FF000000"/>
        </top>
        <bottom style="thin">
          <color rgb="FF000000"/>
        </bottom>
      </border>
    </dxf>
    <dxf>
      <font>
        <name val="等线"/>
        <scheme val="none"/>
        <charset val="134"/>
        <b val="0"/>
        <i val="0"/>
        <strike val="0"/>
        <u val="none"/>
        <sz val="12"/>
        <color auto="1"/>
      </font>
      <alignment horizontal="center" vertical="center"/>
      <border>
        <left style="thin">
          <color rgb="FF000000"/>
        </left>
        <right style="thin">
          <color rgb="FF000000"/>
        </right>
        <top style="thin">
          <color rgb="FF000000"/>
        </top>
        <bottom style="thin">
          <color rgb="FF000000"/>
        </bottom>
      </border>
    </dxf>
    <dxf>
      <font>
        <name val="等线"/>
        <scheme val="none"/>
        <charset val="134"/>
        <b val="0"/>
        <i val="0"/>
        <strike val="0"/>
        <u val="none"/>
        <sz val="12"/>
        <color auto="1"/>
      </font>
      <alignment horizontal="center"/>
      <border>
        <left style="thin">
          <color rgb="FF000000"/>
        </left>
        <right style="thin">
          <color rgb="FF000000"/>
        </right>
        <top style="thin">
          <color rgb="FF000000"/>
        </top>
        <bottom style="thin">
          <color rgb="FF000000"/>
        </bottom>
      </border>
    </dxf>
    <dxf>
      <font>
        <name val="等线"/>
        <scheme val="none"/>
        <charset val="134"/>
        <b val="0"/>
        <i val="0"/>
        <strike val="0"/>
        <u val="none"/>
        <sz val="12"/>
        <color auto="1"/>
      </font>
      <alignment horizontal="center" vertical="center"/>
      <border>
        <left style="thin">
          <color rgb="FF000000"/>
        </left>
        <right style="thin">
          <color rgb="FF000000"/>
        </right>
        <top style="thin">
          <color rgb="FF000000"/>
        </top>
        <bottom style="thin">
          <color rgb="FF000000"/>
        </bottom>
      </border>
    </dxf>
    <dxf>
      <font>
        <name val="等线"/>
        <scheme val="none"/>
        <charset val="134"/>
        <b val="0"/>
        <i val="0"/>
        <strike val="0"/>
        <u val="none"/>
        <sz val="12"/>
        <color auto="1"/>
      </font>
      <alignment horizontal="center" vertical="center"/>
      <border>
        <left style="thin">
          <color rgb="FF000000"/>
        </left>
        <right style="thin">
          <color rgb="FF000000"/>
        </right>
        <top style="thin">
          <color rgb="FF000000"/>
        </top>
        <bottom style="thin">
          <color rgb="FF000000"/>
        </bottom>
      </border>
    </dxf>
    <dxf>
      <font>
        <name val="等线"/>
        <scheme val="none"/>
        <charset val="134"/>
        <b val="0"/>
        <i val="0"/>
        <strike val="0"/>
        <u val="none"/>
        <sz val="12"/>
        <color auto="1"/>
      </font>
      <fill>
        <patternFill patternType="none"/>
      </fill>
      <alignment horizontal="center" vertical="center"/>
      <border>
        <left style="thin">
          <color rgb="FF000000"/>
        </left>
        <right style="thin">
          <color rgb="FF000000"/>
        </right>
        <top style="thin">
          <color rgb="FF000000"/>
        </top>
        <bottom style="thin">
          <color rgb="FF000000"/>
        </bottom>
      </border>
    </dxf>
    <dxf>
      <font>
        <name val="等线"/>
        <scheme val="none"/>
        <charset val="134"/>
        <b val="0"/>
        <i val="0"/>
        <strike val="0"/>
        <u val="none"/>
        <sz val="12"/>
        <color auto="1"/>
      </font>
      <fill>
        <patternFill patternType="none"/>
      </fill>
      <alignment horizontal="center" vertical="center"/>
      <border>
        <left style="thin">
          <color rgb="FF000000"/>
        </left>
        <right style="thin">
          <color rgb="FF000000"/>
        </right>
        <top style="thin">
          <color rgb="FF000000"/>
        </top>
        <bottom style="thin">
          <color rgb="FF000000"/>
        </bottom>
      </border>
    </dxf>
    <dxf>
      <font>
        <name val="等线"/>
        <scheme val="none"/>
        <charset val="134"/>
        <b val="0"/>
        <i val="0"/>
        <strike val="0"/>
        <u val="none"/>
        <sz val="10"/>
        <color theme="1"/>
      </font>
    </dxf>
    <dxf>
      <font>
        <name val="等线"/>
        <scheme val="none"/>
        <charset val="134"/>
        <b val="0"/>
        <i val="0"/>
        <strike val="0"/>
        <u val="none"/>
        <sz val="10"/>
        <color theme="1"/>
      </font>
    </dxf>
    <dxf>
      <font>
        <name val="等线"/>
        <scheme val="none"/>
        <charset val="134"/>
        <b val="0"/>
        <i val="0"/>
        <strike val="0"/>
        <u val="none"/>
        <sz val="12"/>
        <color auto="1"/>
      </font>
      <numFmt numFmtId="180" formatCode="#,##0_ "/>
      <fill>
        <patternFill patternType="none"/>
      </fill>
      <alignment horizontal="center" vertical="center"/>
      <border>
        <left style="thin">
          <color rgb="FF000000"/>
        </left>
        <right style="thin">
          <color rgb="FF000000"/>
        </right>
        <top style="thin">
          <color rgb="FF000000"/>
        </top>
        <bottom style="thin">
          <color rgb="FF000000"/>
        </bottom>
      </border>
    </dxf>
    <dxf>
      <font>
        <name val="等线"/>
        <scheme val="none"/>
        <charset val="134"/>
        <b val="0"/>
        <i val="0"/>
        <strike val="0"/>
        <u val="none"/>
        <sz val="12"/>
        <color auto="1"/>
      </font>
      <alignment horizontal="center" vertical="center"/>
      <border>
        <left style="thin">
          <color rgb="FF000000"/>
        </left>
        <right/>
        <top style="thin">
          <color rgb="FF000000"/>
        </top>
        <bottom style="thin">
          <color rgb="FF000000"/>
        </bottom>
      </border>
    </dxf>
    <dxf>
      <font>
        <name val="等线"/>
        <scheme val="none"/>
        <charset val="134"/>
        <b val="0"/>
        <i val="0"/>
        <strike val="0"/>
        <u val="none"/>
        <sz val="12"/>
        <color auto="1"/>
      </font>
      <alignment horizontal="center" vertical="center"/>
      <border>
        <left/>
        <right style="thin">
          <color rgb="FF000000"/>
        </right>
        <top style="thin">
          <color rgb="FF000000"/>
        </top>
        <bottom style="thin">
          <color rgb="FF000000"/>
        </bottom>
      </border>
    </dxf>
    <dxf>
      <font>
        <name val="微软雅黑"/>
        <scheme val="none"/>
        <charset val="134"/>
        <b val="0"/>
        <i val="0"/>
        <strike val="0"/>
        <u val="none"/>
        <sz val="11"/>
        <color auto="1"/>
      </font>
      <fill>
        <patternFill patternType="solid">
          <bgColor rgb="FFFFFFFF"/>
        </patternFill>
      </fill>
      <alignment horizontal="center" vertical="center"/>
      <border>
        <left style="thin">
          <color rgb="FF000000"/>
        </left>
        <right style="thin">
          <color rgb="FF000000"/>
        </right>
        <top style="thin">
          <color rgb="FF000000"/>
        </top>
        <bottom style="thin">
          <color rgb="FF000000"/>
        </bottom>
      </border>
    </dxf>
    <dxf>
      <font>
        <name val="微软雅黑"/>
        <scheme val="none"/>
        <charset val="134"/>
        <b val="0"/>
        <i val="0"/>
        <strike val="0"/>
        <u val="none"/>
        <sz val="11"/>
        <color auto="1"/>
      </font>
      <fill>
        <patternFill patternType="solid">
          <bgColor rgb="FFFFFFFF"/>
        </patternFill>
      </fill>
      <alignment horizontal="center" vertical="center"/>
      <border>
        <left style="thin">
          <color rgb="FF000000"/>
        </left>
        <right style="thin">
          <color rgb="FF000000"/>
        </right>
        <top style="thin">
          <color rgb="FF000000"/>
        </top>
        <bottom style="thin">
          <color rgb="FF000000"/>
        </bottom>
      </border>
    </dxf>
    <dxf>
      <font>
        <name val="微软雅黑"/>
        <scheme val="none"/>
        <charset val="134"/>
        <b val="0"/>
        <i val="0"/>
        <strike val="0"/>
        <u val="none"/>
        <sz val="11"/>
        <color auto="1"/>
      </font>
      <fill>
        <patternFill patternType="solid">
          <bgColor rgb="FFFFFFFF"/>
        </patternFill>
      </fill>
      <alignment horizontal="center" vertical="center"/>
      <border>
        <left style="thin">
          <color rgb="FF000000"/>
        </left>
        <right style="thin">
          <color rgb="FF000000"/>
        </right>
        <top style="thin">
          <color rgb="FF000000"/>
        </top>
        <bottom style="thin">
          <color rgb="FF000000"/>
        </bottom>
      </border>
    </dxf>
    <dxf>
      <font>
        <name val="微软雅黑"/>
        <scheme val="none"/>
        <charset val="134"/>
        <b val="0"/>
        <i val="0"/>
        <strike val="0"/>
        <u val="none"/>
        <sz val="10"/>
        <color auto="1"/>
      </font>
      <alignment horizontal="center" vertical="center"/>
      <border>
        <left style="thin">
          <color rgb="FF000000"/>
        </left>
        <right style="thin">
          <color auto="1"/>
        </right>
        <top style="thin">
          <color rgb="FF000000"/>
        </top>
        <bottom style="thin">
          <color auto="1"/>
        </bottom>
      </border>
    </dxf>
    <dxf>
      <font>
        <name val="等线"/>
        <scheme val="none"/>
        <charset val="134"/>
        <b val="0"/>
        <i val="0"/>
        <strike val="0"/>
        <u val="none"/>
        <sz val="10"/>
        <color theme="1"/>
      </font>
    </dxf>
    <dxf>
      <font>
        <name val="等线"/>
        <scheme val="none"/>
        <charset val="134"/>
        <b val="0"/>
        <i val="0"/>
        <strike val="0"/>
        <u val="none"/>
        <sz val="10"/>
        <color theme="1"/>
      </font>
    </dxf>
    <dxf>
      <font>
        <name val="等线"/>
        <scheme val="none"/>
        <charset val="134"/>
        <b val="0"/>
        <i val="0"/>
        <strike val="0"/>
        <u val="none"/>
        <sz val="10"/>
        <color theme="1"/>
      </font>
    </dxf>
    <dxf>
      <font>
        <name val="微软雅黑"/>
        <scheme val="none"/>
        <charset val="134"/>
        <b val="0"/>
        <i val="0"/>
        <strike val="0"/>
        <u val="none"/>
        <sz val="10"/>
        <color theme="1"/>
      </font>
      <fill>
        <patternFill patternType="solid">
          <bgColor theme="6"/>
        </patternFill>
      </fill>
      <alignment horizontal="center" vertical="center"/>
      <border>
        <left style="thin">
          <color rgb="FF000000"/>
        </left>
        <right style="thin">
          <color rgb="FF000000"/>
        </right>
        <top style="thin">
          <color rgb="FF000000"/>
        </top>
        <bottom style="thin">
          <color rgb="FF000000"/>
        </bottom>
      </border>
    </dxf>
    <dxf>
      <font>
        <name val="等线"/>
        <scheme val="none"/>
        <charset val="134"/>
        <b val="0"/>
        <i val="0"/>
        <strike val="0"/>
        <u val="none"/>
        <sz val="10"/>
        <color theme="1"/>
      </font>
    </dxf>
    <dxf>
      <font>
        <name val="等线"/>
        <scheme val="none"/>
        <charset val="134"/>
        <b val="0"/>
        <i val="0"/>
        <strike val="0"/>
        <u val="none"/>
        <sz val="10"/>
        <color theme="1"/>
      </font>
    </dxf>
    <dxf>
      <font>
        <name val="微软雅黑"/>
        <scheme val="none"/>
        <charset val="134"/>
        <b val="0"/>
        <i val="0"/>
        <strike val="0"/>
        <u val="none"/>
        <sz val="10"/>
        <color theme="1"/>
      </font>
      <numFmt numFmtId="9" formatCode="0%"/>
      <fill>
        <patternFill patternType="solid">
          <bgColor theme="6"/>
        </patternFill>
      </fill>
      <alignment horizontal="center" vertical="center"/>
      <border>
        <left style="thin">
          <color rgb="FF000000"/>
        </left>
        <right style="thin">
          <color rgb="FF000000"/>
        </right>
        <top style="thin">
          <color rgb="FF000000"/>
        </top>
        <bottom style="thin">
          <color rgb="FF000000"/>
        </bottom>
      </border>
    </dxf>
    <dxf>
      <font>
        <name val="微软雅黑"/>
        <scheme val="none"/>
        <charset val="134"/>
        <b val="0"/>
        <i val="0"/>
        <strike val="0"/>
        <u val="none"/>
        <sz val="10"/>
        <color theme="1"/>
      </font>
      <numFmt numFmtId="9" formatCode="0%"/>
      <fill>
        <patternFill patternType="solid">
          <bgColor theme="6"/>
        </patternFill>
      </fill>
      <alignment horizontal="center" vertical="center"/>
      <border>
        <left style="thin">
          <color rgb="FF000000"/>
        </left>
        <right style="thin">
          <color rgb="FF000000"/>
        </right>
        <top style="thin">
          <color rgb="FF000000"/>
        </top>
        <bottom style="thin">
          <color rgb="FF000000"/>
        </bottom>
      </border>
    </dxf>
    <dxf>
      <font>
        <name val="微软雅黑"/>
        <scheme val="none"/>
        <charset val="134"/>
        <b val="0"/>
        <i val="0"/>
        <strike val="0"/>
        <u val="none"/>
        <sz val="10"/>
        <color theme="1"/>
      </font>
      <numFmt numFmtId="9" formatCode="0%"/>
      <fill>
        <patternFill patternType="solid">
          <bgColor theme="6"/>
        </patternFill>
      </fill>
      <alignment horizontal="center" vertical="center"/>
      <border>
        <left style="thin">
          <color rgb="FF000000"/>
        </left>
        <right style="thin">
          <color rgb="FF000000"/>
        </right>
        <top style="thin">
          <color rgb="FF000000"/>
        </top>
        <bottom style="thin">
          <color rgb="FF000000"/>
        </bottom>
      </border>
    </dxf>
    <dxf>
      <font>
        <name val="等线"/>
        <scheme val="none"/>
        <charset val="134"/>
        <b val="0"/>
        <i val="0"/>
        <strike val="0"/>
        <u val="none"/>
        <sz val="10"/>
        <color theme="1"/>
      </font>
    </dxf>
    <dxf>
      <font>
        <name val="等线"/>
        <scheme val="none"/>
        <charset val="134"/>
        <b val="0"/>
        <i val="0"/>
        <strike val="0"/>
        <u val="none"/>
        <sz val="10"/>
        <color theme="1"/>
      </font>
    </dxf>
    <dxf>
      <font>
        <name val="等线"/>
        <scheme val="none"/>
        <charset val="134"/>
        <b val="0"/>
        <i val="0"/>
        <strike val="0"/>
        <u val="none"/>
        <sz val="10"/>
        <color theme="1"/>
      </font>
    </dxf>
    <dxf>
      <font>
        <name val="等线"/>
        <scheme val="none"/>
        <charset val="134"/>
        <b val="0"/>
        <i val="0"/>
        <strike val="0"/>
        <u val="none"/>
        <sz val="10"/>
        <color theme="1"/>
      </font>
    </dxf>
    <dxf>
      <font>
        <name val="等线"/>
        <scheme val="none"/>
        <charset val="134"/>
        <b val="0"/>
        <i val="0"/>
        <strike val="0"/>
        <u val="none"/>
        <sz val="10"/>
        <color theme="1"/>
      </font>
    </dxf>
    <dxf>
      <font>
        <name val="等线"/>
        <scheme val="none"/>
        <charset val="134"/>
        <b val="0"/>
        <i val="0"/>
        <strike val="0"/>
        <u val="none"/>
        <sz val="10"/>
        <color theme="1"/>
      </font>
    </dxf>
    <dxf>
      <font>
        <name val="等线"/>
        <scheme val="none"/>
        <charset val="134"/>
        <b val="0"/>
        <i val="0"/>
        <strike val="0"/>
        <u val="none"/>
        <sz val="10"/>
        <color theme="1"/>
      </font>
    </dxf>
    <dxf>
      <font>
        <name val="等线"/>
        <scheme val="none"/>
        <charset val="134"/>
        <b val="0"/>
        <i val="0"/>
        <strike val="0"/>
        <u val="none"/>
        <sz val="10"/>
        <color theme="1"/>
      </font>
    </dxf>
    <dxf>
      <font>
        <name val="等线"/>
        <scheme val="none"/>
        <charset val="134"/>
        <b val="0"/>
        <i val="0"/>
        <strike val="0"/>
        <u val="none"/>
        <sz val="10"/>
        <color theme="1"/>
      </font>
    </dxf>
    <dxf>
      <font>
        <name val="等线"/>
        <scheme val="none"/>
        <charset val="134"/>
        <b val="0"/>
        <i val="0"/>
        <strike val="0"/>
        <u val="none"/>
        <sz val="10"/>
        <color theme="1"/>
      </font>
    </dxf>
    <dxf>
      <font>
        <name val="等线"/>
        <scheme val="none"/>
        <charset val="134"/>
        <b val="0"/>
        <i val="0"/>
        <strike val="0"/>
        <u val="none"/>
        <sz val="10"/>
        <color theme="1"/>
      </font>
    </dxf>
    <dxf>
      <font>
        <name val="等线"/>
        <scheme val="none"/>
        <charset val="134"/>
        <b val="0"/>
        <i val="0"/>
        <strike val="0"/>
        <u val="none"/>
        <sz val="10"/>
        <color theme="1"/>
      </font>
    </dxf>
    <dxf>
      <font>
        <name val="等线"/>
        <scheme val="none"/>
        <charset val="134"/>
        <b val="0"/>
        <i val="0"/>
        <strike val="0"/>
        <u val="none"/>
        <sz val="10"/>
        <color theme="1"/>
      </font>
    </dxf>
    <dxf>
      <font>
        <name val="等线"/>
        <scheme val="none"/>
        <charset val="134"/>
        <b val="0"/>
        <i val="0"/>
        <strike val="0"/>
        <u val="none"/>
        <sz val="10"/>
        <color theme="1"/>
      </font>
    </dxf>
    <dxf>
      <font>
        <name val="等线"/>
        <scheme val="none"/>
        <charset val="134"/>
        <b val="0"/>
        <i val="0"/>
        <strike val="0"/>
        <u val="none"/>
        <sz val="10"/>
        <color theme="1"/>
      </font>
    </dxf>
    <dxf>
      <font>
        <name val="等线"/>
        <scheme val="none"/>
        <charset val="134"/>
        <b val="0"/>
        <i val="0"/>
        <strike val="0"/>
        <u val="none"/>
        <sz val="10"/>
        <color theme="1"/>
      </font>
    </dxf>
    <dxf>
      <fill>
        <patternFill patternType="solid">
          <bgColor theme="5" tint="0.399945066682943"/>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370"/>
      <tableStyleElement type="headerRow" dxfId="369"/>
      <tableStyleElement type="totalRow" dxfId="368"/>
      <tableStyleElement type="firstColumn" dxfId="367"/>
      <tableStyleElement type="lastColumn" dxfId="366"/>
      <tableStyleElement type="firstRowStripe" dxfId="365"/>
      <tableStyleElement type="firstColumnStripe" dxfId="364"/>
    </tableStyle>
    <tableStyle name="PivotStylePreset2_Accent1" table="0" count="10" xr9:uid="{267968C8-6FFD-4C36-ACC1-9EA1FD1885CA}">
      <tableStyleElement type="headerRow" dxfId="380"/>
      <tableStyleElement type="totalRow" dxfId="379"/>
      <tableStyleElement type="firstRowStripe" dxfId="378"/>
      <tableStyleElement type="firstColumnStripe" dxfId="377"/>
      <tableStyleElement type="firstSubtotalRow" dxfId="376"/>
      <tableStyleElement type="secondSubtotalRow" dxfId="375"/>
      <tableStyleElement type="firstRowSubheading" dxfId="374"/>
      <tableStyleElement type="secondRowSubheading" dxfId="373"/>
      <tableStyleElement type="pageFieldLabels" dxfId="372"/>
      <tableStyleElement type="pageFieldValues" dxfId="371"/>
    </tableStyle>
  </tableStyles>
  <colors>
    <mruColors>
      <color rgb="00E2CBC5"/>
      <color rgb="00B1879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1" Type="http://schemas.openxmlformats.org/officeDocument/2006/relationships/styles" Target="styles.xml"/><Relationship Id="rId20" Type="http://schemas.openxmlformats.org/officeDocument/2006/relationships/sheetMetadata" Target="metadata.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externalLink" Target="externalLinks/externalLink3.xml"/><Relationship Id="rId16" Type="http://schemas.openxmlformats.org/officeDocument/2006/relationships/externalLink" Target="externalLinks/externalLink2.xml"/><Relationship Id="rId15" Type="http://schemas.openxmlformats.org/officeDocument/2006/relationships/externalLink" Target="externalLinks/externalLink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rPr lang="zh-CN" altLang="en-US"/>
              <a:t>成长性</a:t>
            </a:r>
            <a:endParaRPr lang="zh-CN" altLang="en-US"/>
          </a:p>
        </c:rich>
      </c:tx>
      <c:layout/>
      <c:overlay val="0"/>
      <c:spPr>
        <a:noFill/>
        <a:ln>
          <a:noFill/>
        </a:ln>
        <a:effectLst/>
      </c:spPr>
    </c:title>
    <c:autoTitleDeleted val="0"/>
    <c:plotArea>
      <c:layout/>
      <c:scatterChart>
        <c:scatterStyle val="lineMarker"/>
        <c:varyColors val="0"/>
        <c:ser>
          <c:idx val="0"/>
          <c:order val="0"/>
          <c:tx>
            <c:strRef>
              <c:f>养成框架!$I$104</c:f>
              <c:strCache>
                <c:ptCount val="1"/>
                <c:pt idx="0">
                  <c:v>每日成长</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elete val="1"/>
          </c:dLbls>
          <c:yVal>
            <c:numRef>
              <c:f>养成框架!$I$105:$I$136</c:f>
              <c:numCache>
                <c:formatCode>0_ </c:formatCode>
                <c:ptCount val="32"/>
                <c:pt idx="1" c:formatCode="[&lt;0.1]0.0%;0%">
                  <c:v>0.333333333333333</c:v>
                </c:pt>
                <c:pt idx="2" c:formatCode="[&lt;0.1]0.0%;0%">
                  <c:v>0.25</c:v>
                </c:pt>
                <c:pt idx="3" c:formatCode="[&lt;0.1]0.0%;0%">
                  <c:v>0.15</c:v>
                </c:pt>
                <c:pt idx="4" c:formatCode="[&lt;0.1]0.0%;0%">
                  <c:v>0.130434782608696</c:v>
                </c:pt>
                <c:pt idx="5" c:formatCode="[&lt;0.1]0.0%;0%">
                  <c:v>0.115384615384615</c:v>
                </c:pt>
                <c:pt idx="6" c:formatCode="[&lt;0.1]0.0%;0%">
                  <c:v>0.0689655172413792</c:v>
                </c:pt>
                <c:pt idx="7" c:formatCode="[&lt;0.1]0.0%;0%">
                  <c:v>0.064516129032258</c:v>
                </c:pt>
                <c:pt idx="8" c:formatCode="[&lt;0.1]0.0%;0%">
                  <c:v>0.0606060606060606</c:v>
                </c:pt>
                <c:pt idx="9" c:formatCode="[&lt;0.1]0.0%;0%">
                  <c:v>0.0571428571428572</c:v>
                </c:pt>
                <c:pt idx="10" c:formatCode="[&lt;0.1]0.0%;0%">
                  <c:v>0.0540540540540539</c:v>
                </c:pt>
                <c:pt idx="11" c:formatCode="[&lt;0.1]0.0%;0%">
                  <c:v>0.0512820512820513</c:v>
                </c:pt>
                <c:pt idx="12" c:formatCode="[&lt;0.1]0.0%;0%">
                  <c:v>0.0487804878048781</c:v>
                </c:pt>
                <c:pt idx="13" c:formatCode="[&lt;0.1]0.0%;0%">
                  <c:v>0.0465116279069768</c:v>
                </c:pt>
                <c:pt idx="14" c:formatCode="[&lt;0.1]0.0%;0%">
                  <c:v>0.0444444444444445</c:v>
                </c:pt>
                <c:pt idx="15" c:formatCode="[&lt;0.1]0.0%;0%">
                  <c:v>0.0425531914893618</c:v>
                </c:pt>
                <c:pt idx="16" c:formatCode="[&lt;0.1]0.0%;0%">
                  <c:v>0.0408163265306122</c:v>
                </c:pt>
                <c:pt idx="17" c:formatCode="[&lt;0.1]0.0%;0%">
                  <c:v>0.0350877192982456</c:v>
                </c:pt>
                <c:pt idx="18" c:formatCode="[&lt;0.1]0.0%;0%">
                  <c:v>0.028169014084507</c:v>
                </c:pt>
                <c:pt idx="19" c:formatCode="[&lt;0.1]0.0%;0%">
                  <c:v>0.0235294117647059</c:v>
                </c:pt>
                <c:pt idx="20" c:formatCode="[&lt;0.1]0.0%;0%">
                  <c:v>0.0202020202020202</c:v>
                </c:pt>
                <c:pt idx="21" c:formatCode="[&lt;0.1]0.0%;0%">
                  <c:v>0.0176991150442478</c:v>
                </c:pt>
                <c:pt idx="22" c:formatCode="[&lt;0.1]0.0%;0%">
                  <c:v>0.015748031496063</c:v>
                </c:pt>
                <c:pt idx="23" c:formatCode="[&lt;0.1]0.0%;0%">
                  <c:v>0.0141843971631206</c:v>
                </c:pt>
                <c:pt idx="24" c:formatCode="[&lt;0.1]0.0%;0%">
                  <c:v>0.0101522842639594</c:v>
                </c:pt>
                <c:pt idx="25" c:formatCode="[&lt;0.1]0.0%;0%">
                  <c:v>0.00778210116731518</c:v>
                </c:pt>
                <c:pt idx="26" c:formatCode="[&lt;0.1]0.0%;0%">
                  <c:v>0.00630914826498423</c:v>
                </c:pt>
                <c:pt idx="27" c:formatCode="[&lt;0.1]0.0%;0%">
                  <c:v>0.00503778337531486</c:v>
                </c:pt>
                <c:pt idx="28" c:formatCode="[&lt;0.1]0.0%;0%">
                  <c:v>0.00386847195357834</c:v>
                </c:pt>
                <c:pt idx="29" c:formatCode="[&lt;0.1]0.0%;0%">
                  <c:v>0.00313971742543171</c:v>
                </c:pt>
                <c:pt idx="30" c:formatCode="[&lt;0.1]0.0%;0%">
                  <c:v>0.00264200792602378</c:v>
                </c:pt>
                <c:pt idx="31" c:formatCode="[&lt;0.1]0.0%;0%">
                  <c:v>0.00228050171037628</c:v>
                </c:pt>
              </c:numCache>
            </c:numRef>
          </c:yVal>
          <c:smooth val="0"/>
        </c:ser>
        <c:ser>
          <c:idx val="1"/>
          <c:order val="1"/>
          <c:tx>
            <c:strRef>
              <c:f>养成框架!$K$104</c:f>
              <c:strCache>
                <c:ptCount val="1"/>
                <c:pt idx="0">
                  <c:v>每日倍率</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dLbls>
            <c:delete val="1"/>
          </c:dLbls>
          <c:yVal>
            <c:numRef>
              <c:f>养成框架!$K$105:$K$136</c:f>
              <c:numCache>
                <c:formatCode>0%</c:formatCode>
                <c:ptCount val="32"/>
                <c:pt idx="1" c:formatCode="0.0%">
                  <c:v>0.377384196185286</c:v>
                </c:pt>
                <c:pt idx="2" c:formatCode="0.0%">
                  <c:v>0.287240356083086</c:v>
                </c:pt>
                <c:pt idx="3" c:formatCode="0.0%">
                  <c:v>0.272074889249704</c:v>
                </c:pt>
                <c:pt idx="4" c:formatCode="0.0%">
                  <c:v>0.113784576595796</c:v>
                </c:pt>
                <c:pt idx="5" c:formatCode="0.0%">
                  <c:v>0.0980794959216262</c:v>
                </c:pt>
                <c:pt idx="6" c:formatCode="0.0%">
                  <c:v>0.145790892848902</c:v>
                </c:pt>
                <c:pt idx="7" c:formatCode="0.0%">
                  <c:v>0.0752949147743074</c:v>
                </c:pt>
                <c:pt idx="8" c:formatCode="0.0%">
                  <c:v>0.0793377759266973</c:v>
                </c:pt>
                <c:pt idx="9" c:formatCode="0.0%">
                  <c:v>0.0829051386800017</c:v>
                </c:pt>
                <c:pt idx="10" c:formatCode="0.0%">
                  <c:v>0.0861184792219276</c:v>
                </c:pt>
                <c:pt idx="11" c:formatCode="0.0%">
                  <c:v>0.0889300711895575</c:v>
                </c:pt>
                <c:pt idx="12" c:formatCode="0.0%">
                  <c:v>0.0915507692064759</c:v>
                </c:pt>
                <c:pt idx="13" c:formatCode="0.0%">
                  <c:v>0.0939864241465664</c:v>
                </c:pt>
                <c:pt idx="14" c:formatCode="0.0%">
                  <c:v>0.0244098025005028</c:v>
                </c:pt>
                <c:pt idx="15" c:formatCode="0.0%">
                  <c:v>0.0262951809461225</c:v>
                </c:pt>
                <c:pt idx="16" c:formatCode="0.0%">
                  <c:v>0.0302758789518385</c:v>
                </c:pt>
                <c:pt idx="17" c:formatCode="0.0%">
                  <c:v>0.0369256807097669</c:v>
                </c:pt>
                <c:pt idx="18" c:formatCode="0.0%">
                  <c:v>0.0428330614443306</c:v>
                </c:pt>
                <c:pt idx="19" c:formatCode="0.0%">
                  <c:v>0.0469405505624614</c:v>
                </c:pt>
                <c:pt idx="20" c:formatCode="0.0%">
                  <c:v>0.0499665335880792</c:v>
                </c:pt>
                <c:pt idx="21" c:formatCode="0.0%">
                  <c:v>0.0123856103374387</c:v>
                </c:pt>
                <c:pt idx="22" c:formatCode="0.0%">
                  <c:v>0.0240055903646774</c:v>
                </c:pt>
                <c:pt idx="23" c:formatCode="0.0%">
                  <c:v>0.0221255226380304</c:v>
                </c:pt>
                <c:pt idx="24" c:formatCode="0.0%">
                  <c:v>0.0252809509461474</c:v>
                </c:pt>
                <c:pt idx="25" c:formatCode="0.0%">
                  <c:v>0.0271983586113493</c:v>
                </c:pt>
                <c:pt idx="26" c:formatCode="0.0%">
                  <c:v>0.0286049153111096</c:v>
                </c:pt>
                <c:pt idx="27" c:formatCode="0.0%">
                  <c:v>0.029864812954697</c:v>
                </c:pt>
                <c:pt idx="28" c:formatCode="0.0%">
                  <c:v>0.0181084638109736</c:v>
                </c:pt>
                <c:pt idx="29" c:formatCode="0.0%">
                  <c:v>0.0198711774551212</c:v>
                </c:pt>
                <c:pt idx="30" c:formatCode="0.0%">
                  <c:v>0.0203038622781009</c:v>
                </c:pt>
                <c:pt idx="31" c:formatCode="0.0%">
                  <c:v>0.0206897531488393</c:v>
                </c:pt>
              </c:numCache>
            </c:numRef>
          </c:yVal>
          <c:smooth val="0"/>
        </c:ser>
        <c:dLbls>
          <c:showLegendKey val="0"/>
          <c:showVal val="0"/>
          <c:showCatName val="0"/>
          <c:showSerName val="0"/>
          <c:showPercent val="0"/>
          <c:showBubbleSize val="0"/>
        </c:dLbls>
        <c:axId val="925932770"/>
        <c:axId val="467246210"/>
      </c:scatterChart>
      <c:valAx>
        <c:axId val="925932770"/>
        <c:scaling>
          <c:orientation val="minMax"/>
        </c:scaling>
        <c:delete val="0"/>
        <c:axPos val="b"/>
        <c:majorGridlines>
          <c:spPr>
            <a:ln w="9525" cap="flat" cmpd="sng" algn="ctr">
              <a:solidFill>
                <a:schemeClr val="lt1">
                  <a:lumMod val="902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67246210"/>
        <c:crosses val="autoZero"/>
        <c:crossBetween val="midCat"/>
      </c:valAx>
      <c:valAx>
        <c:axId val="467246210"/>
        <c:scaling>
          <c:orientation val="minMax"/>
        </c:scaling>
        <c:delete val="0"/>
        <c:axPos val="l"/>
        <c:majorGridlines>
          <c:spPr>
            <a:ln w="9525" cap="flat" cmpd="sng" algn="ctr">
              <a:solidFill>
                <a:schemeClr val="lt1">
                  <a:lumMod val="90200"/>
                </a:schemeClr>
              </a:solidFill>
              <a:round/>
            </a:ln>
            <a:effectLst/>
          </c:spPr>
        </c:majorGridlines>
        <c:numFmt formatCode="0_ "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25932770"/>
        <c:crosses val="autoZero"/>
        <c:crossBetween val="midCat"/>
      </c:valAx>
      <c:spPr>
        <a:noFill/>
        <a:ln w="9525" cap="flat" cmpd="sng" algn="ctr">
          <a:solidFill>
            <a:schemeClr val="tx1">
              <a:lumMod val="15000"/>
              <a:lumOff val="85000"/>
            </a:schemeClr>
          </a:solidFill>
          <a:round/>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59fbb0bf-47d3-4a68-a6bc-4df37f542573}"/>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rPr lang="zh-CN" altLang="en-US"/>
              <a:t>英雄</a:t>
            </a:r>
            <a:r>
              <a:rPr lang="en-US" altLang="zh-CN"/>
              <a:t>&amp;</a:t>
            </a:r>
            <a:r>
              <a:rPr lang="zh-CN" altLang="en-US"/>
              <a:t>宝石比例</a:t>
            </a:r>
            <a:endParaRPr lang="zh-CN" altLang="en-US"/>
          </a:p>
        </c:rich>
      </c:tx>
      <c:layout/>
      <c:overlay val="0"/>
      <c:spPr>
        <a:noFill/>
        <a:ln>
          <a:noFill/>
        </a:ln>
        <a:effectLst/>
      </c:spPr>
    </c:title>
    <c:autoTitleDeleted val="0"/>
    <c:plotArea>
      <c:layout/>
      <c:scatterChart>
        <c:scatterStyle val="marker"/>
        <c:varyColors val="0"/>
        <c:ser>
          <c:idx val="0"/>
          <c:order val="0"/>
          <c:tx>
            <c:strRef>
              <c:f>养成框架!$W$148</c:f>
              <c:strCache>
                <c:ptCount val="1"/>
                <c:pt idx="0">
                  <c:v>英雄</c:v>
                </c:pt>
              </c:strCache>
            </c:strRef>
          </c:tx>
          <c:spPr>
            <a:ln w="19050" cap="rnd">
              <a:noFill/>
              <a:round/>
            </a:ln>
            <a:effectLst/>
          </c:spPr>
          <c:marker>
            <c:symbol val="circle"/>
            <c:size val="5"/>
            <c:spPr>
              <a:solidFill>
                <a:schemeClr val="accent1"/>
              </a:solidFill>
              <a:ln w="9525">
                <a:solidFill>
                  <a:schemeClr val="accent1"/>
                </a:solidFill>
              </a:ln>
              <a:effectLst/>
            </c:spPr>
          </c:marker>
          <c:dLbls>
            <c:delete val="1"/>
          </c:dLbls>
          <c:yVal>
            <c:numRef>
              <c:f>养成框架!$W$149:$W$180</c:f>
              <c:numCache>
                <c:formatCode>0%</c:formatCode>
                <c:ptCount val="32"/>
                <c:pt idx="0">
                  <c:v>1.38</c:v>
                </c:pt>
                <c:pt idx="1">
                  <c:v>1.476025</c:v>
                </c:pt>
                <c:pt idx="2">
                  <c:v>1.674</c:v>
                </c:pt>
                <c:pt idx="3">
                  <c:v>1.734798</c:v>
                </c:pt>
                <c:pt idx="4">
                  <c:v>1.776658</c:v>
                </c:pt>
                <c:pt idx="5">
                  <c:v>1.818518</c:v>
                </c:pt>
                <c:pt idx="6">
                  <c:v>1.860378</c:v>
                </c:pt>
                <c:pt idx="7">
                  <c:v>1.902238</c:v>
                </c:pt>
                <c:pt idx="8">
                  <c:v>1.944098</c:v>
                </c:pt>
                <c:pt idx="9">
                  <c:v>1.985958</c:v>
                </c:pt>
                <c:pt idx="10">
                  <c:v>2.027818</c:v>
                </c:pt>
                <c:pt idx="11">
                  <c:v>2.149281</c:v>
                </c:pt>
                <c:pt idx="12">
                  <c:v>2.2869</c:v>
                </c:pt>
                <c:pt idx="13">
                  <c:v>2.309175</c:v>
                </c:pt>
                <c:pt idx="14">
                  <c:v>2.33145</c:v>
                </c:pt>
                <c:pt idx="15">
                  <c:v>2.353725</c:v>
                </c:pt>
                <c:pt idx="16">
                  <c:v>2.442825</c:v>
                </c:pt>
                <c:pt idx="17">
                  <c:v>2.59875</c:v>
                </c:pt>
                <c:pt idx="18">
                  <c:v>2.99052</c:v>
                </c:pt>
                <c:pt idx="19">
                  <c:v>3.6616</c:v>
                </c:pt>
                <c:pt idx="20">
                  <c:v>3.9192</c:v>
                </c:pt>
                <c:pt idx="21">
                  <c:v>4.1768</c:v>
                </c:pt>
                <c:pt idx="22">
                  <c:v>5.0128</c:v>
                </c:pt>
                <c:pt idx="23">
                  <c:v>5.47871999999999</c:v>
                </c:pt>
                <c:pt idx="24">
                  <c:v>7.66528</c:v>
                </c:pt>
                <c:pt idx="25">
                  <c:v>8.47167999999999</c:v>
                </c:pt>
                <c:pt idx="26">
                  <c:v>10.71104</c:v>
                </c:pt>
                <c:pt idx="27">
                  <c:v>11.6326399999999</c:v>
                </c:pt>
                <c:pt idx="28">
                  <c:v>14.1235199999999</c:v>
                </c:pt>
                <c:pt idx="29">
                  <c:v>15.1603199999999</c:v>
                </c:pt>
                <c:pt idx="30">
                  <c:v>17.9967999999999</c:v>
                </c:pt>
                <c:pt idx="31">
                  <c:v>19.7247999999998</c:v>
                </c:pt>
              </c:numCache>
            </c:numRef>
          </c:yVal>
          <c:smooth val="0"/>
        </c:ser>
        <c:ser>
          <c:idx val="1"/>
          <c:order val="1"/>
          <c:tx>
            <c:strRef>
              <c:f>养成框架!$X$148</c:f>
              <c:strCache>
                <c:ptCount val="1"/>
                <c:pt idx="0">
                  <c:v>宝石</c:v>
                </c:pt>
              </c:strCache>
            </c:strRef>
          </c:tx>
          <c:spPr>
            <a:ln w="19050" cap="rnd">
              <a:noFill/>
              <a:round/>
            </a:ln>
            <a:effectLst/>
          </c:spPr>
          <c:marker>
            <c:symbol val="circle"/>
            <c:size val="5"/>
            <c:spPr>
              <a:solidFill>
                <a:schemeClr val="accent2"/>
              </a:solidFill>
              <a:ln w="9525">
                <a:solidFill>
                  <a:schemeClr val="accent2"/>
                </a:solidFill>
              </a:ln>
              <a:effectLst/>
            </c:spPr>
          </c:marker>
          <c:dLbls>
            <c:delete val="1"/>
          </c:dLbls>
          <c:yVal>
            <c:numRef>
              <c:f>养成框架!$X$149:$X$180</c:f>
              <c:numCache>
                <c:formatCode>0%</c:formatCode>
                <c:ptCount val="32"/>
                <c:pt idx="0">
                  <c:v>1.3</c:v>
                </c:pt>
                <c:pt idx="1">
                  <c:v>1.3</c:v>
                </c:pt>
                <c:pt idx="2">
                  <c:v>1.3</c:v>
                </c:pt>
                <c:pt idx="3">
                  <c:v>1.31443147075175</c:v>
                </c:pt>
                <c:pt idx="4">
                  <c:v>1.35132442268228</c:v>
                </c:pt>
                <c:pt idx="5">
                  <c:v>1.37453512048687</c:v>
                </c:pt>
                <c:pt idx="6">
                  <c:v>1.4845107564558</c:v>
                </c:pt>
                <c:pt idx="7">
                  <c:v>1.5073264364997</c:v>
                </c:pt>
                <c:pt idx="8">
                  <c:v>1.53882111273148</c:v>
                </c:pt>
                <c:pt idx="9">
                  <c:v>1.57865127819175</c:v>
                </c:pt>
                <c:pt idx="10">
                  <c:v>1.62673274855926</c:v>
                </c:pt>
                <c:pt idx="11">
                  <c:v>1.62673274855926</c:v>
                </c:pt>
                <c:pt idx="12">
                  <c:v>1.62673274855926</c:v>
                </c:pt>
                <c:pt idx="13">
                  <c:v>1.7179799058959</c:v>
                </c:pt>
                <c:pt idx="14">
                  <c:v>1.7179799058959</c:v>
                </c:pt>
                <c:pt idx="15">
                  <c:v>1.7179799058959</c:v>
                </c:pt>
                <c:pt idx="16">
                  <c:v>1.82859458708656</c:v>
                </c:pt>
                <c:pt idx="17">
                  <c:v>2.17960781341063</c:v>
                </c:pt>
                <c:pt idx="18">
                  <c:v>2.49984778767823</c:v>
                </c:pt>
                <c:pt idx="19">
                  <c:v>2.7705628696012</c:v>
                </c:pt>
                <c:pt idx="20">
                  <c:v>3.58510035180307</c:v>
                </c:pt>
                <c:pt idx="21">
                  <c:v>3.61087381672672</c:v>
                </c:pt>
                <c:pt idx="22">
                  <c:v>3.89758865248227</c:v>
                </c:pt>
                <c:pt idx="23">
                  <c:v>5.82078941010955</c:v>
                </c:pt>
                <c:pt idx="24">
                  <c:v>8.67058585747725</c:v>
                </c:pt>
                <c:pt idx="25">
                  <c:v>17.2964653281073</c:v>
                </c:pt>
                <c:pt idx="26">
                  <c:v>41.6724947163103</c:v>
                </c:pt>
                <c:pt idx="27">
                  <c:v>221.163500239425</c:v>
                </c:pt>
                <c:pt idx="28">
                  <c:v>527.319257433857</c:v>
                </c:pt>
                <c:pt idx="29">
                  <c:v>1577.94381413931</c:v>
                </c:pt>
                <c:pt idx="30">
                  <c:v>4380.46996734373</c:v>
                </c:pt>
                <c:pt idx="31">
                  <c:v>24909.4126121466</c:v>
                </c:pt>
              </c:numCache>
            </c:numRef>
          </c:yVal>
          <c:smooth val="0"/>
        </c:ser>
        <c:dLbls>
          <c:showLegendKey val="0"/>
          <c:showVal val="0"/>
          <c:showCatName val="0"/>
          <c:showSerName val="0"/>
          <c:showPercent val="0"/>
          <c:showBubbleSize val="0"/>
        </c:dLbls>
        <c:axId val="878593511"/>
        <c:axId val="523677772"/>
      </c:scatterChart>
      <c:valAx>
        <c:axId val="878593511"/>
        <c:scaling>
          <c:orientation val="minMax"/>
        </c:scaling>
        <c:delete val="0"/>
        <c:axPos val="b"/>
        <c:majorGridlines>
          <c:spPr>
            <a:ln w="9525" cap="flat" cmpd="sng" algn="ctr">
              <a:solidFill>
                <a:schemeClr val="lt1">
                  <a:lumMod val="902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23677772"/>
        <c:crosses val="autoZero"/>
        <c:crossBetween val="midCat"/>
      </c:valAx>
      <c:valAx>
        <c:axId val="523677772"/>
        <c:scaling>
          <c:orientation val="minMax"/>
        </c:scaling>
        <c:delete val="0"/>
        <c:axPos val="l"/>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78593511"/>
        <c:crosses val="autoZero"/>
        <c:crossBetween val="midCat"/>
      </c:valAx>
      <c:spPr>
        <a:noFill/>
        <a:ln w="9525" cap="flat" cmpd="sng" algn="ctr">
          <a:solidFill>
            <a:schemeClr val="tx1">
              <a:lumMod val="15000"/>
              <a:lumOff val="85000"/>
            </a:schemeClr>
          </a:solidFill>
          <a:round/>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c7a92f4e-096a-45fa-9ff2-905634714c7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rPr altLang="en-US"/>
              <a:t>主线进度</a:t>
            </a:r>
            <a:r>
              <a:rPr lang="en-US" altLang="zh-CN"/>
              <a:t>&amp;</a:t>
            </a:r>
            <a:r>
              <a:rPr altLang="en-US"/>
              <a:t>玩家等级</a:t>
            </a:r>
            <a:endParaRPr lang="en-US" altLang="zh-CN"/>
          </a:p>
        </c:rich>
      </c:tx>
      <c:layout/>
      <c:overlay val="0"/>
      <c:spPr>
        <a:noFill/>
        <a:ln>
          <a:noFill/>
        </a:ln>
        <a:effectLst/>
      </c:spPr>
    </c:title>
    <c:autoTitleDeleted val="0"/>
    <c:plotArea>
      <c:layout/>
      <c:scatterChart>
        <c:scatterStyle val="marker"/>
        <c:varyColors val="0"/>
        <c:ser>
          <c:idx val="0"/>
          <c:order val="0"/>
          <c:tx>
            <c:strRef>
              <c:f>养成框架!$E$63</c:f>
              <c:strCache>
                <c:ptCount val="1"/>
                <c:pt idx="0">
                  <c:v>主线进度</c:v>
                </c:pt>
              </c:strCache>
            </c:strRef>
          </c:tx>
          <c:spPr>
            <a:ln w="19050" cap="rnd">
              <a:noFill/>
              <a:round/>
            </a:ln>
            <a:effectLst/>
          </c:spPr>
          <c:marker>
            <c:symbol val="circle"/>
            <c:size val="5"/>
            <c:spPr>
              <a:solidFill>
                <a:schemeClr val="accent1"/>
              </a:solidFill>
              <a:ln w="9525">
                <a:solidFill>
                  <a:schemeClr val="accent1"/>
                </a:solidFill>
              </a:ln>
              <a:effectLst/>
            </c:spPr>
          </c:marker>
          <c:dLbls>
            <c:delete val="1"/>
          </c:dLbls>
          <c:yVal>
            <c:numRef>
              <c:f>养成框架!$E$64:$E$95</c:f>
              <c:numCache>
                <c:formatCode>General</c:formatCode>
                <c:ptCount val="32"/>
                <c:pt idx="0">
                  <c:v>10</c:v>
                </c:pt>
                <c:pt idx="1">
                  <c:v>15</c:v>
                </c:pt>
                <c:pt idx="2">
                  <c:v>20</c:v>
                </c:pt>
                <c:pt idx="3">
                  <c:v>24</c:v>
                </c:pt>
                <c:pt idx="4">
                  <c:v>27</c:v>
                </c:pt>
                <c:pt idx="5">
                  <c:v>30</c:v>
                </c:pt>
                <c:pt idx="6">
                  <c:v>33</c:v>
                </c:pt>
                <c:pt idx="7">
                  <c:v>35</c:v>
                </c:pt>
                <c:pt idx="8">
                  <c:v>37</c:v>
                </c:pt>
                <c:pt idx="9">
                  <c:v>39</c:v>
                </c:pt>
                <c:pt idx="10">
                  <c:v>41</c:v>
                </c:pt>
                <c:pt idx="11">
                  <c:v>43</c:v>
                </c:pt>
                <c:pt idx="12">
                  <c:v>45</c:v>
                </c:pt>
                <c:pt idx="13">
                  <c:v>47</c:v>
                </c:pt>
                <c:pt idx="14">
                  <c:v>48</c:v>
                </c:pt>
                <c:pt idx="15">
                  <c:v>49</c:v>
                </c:pt>
                <c:pt idx="16">
                  <c:v>53</c:v>
                </c:pt>
                <c:pt idx="17">
                  <c:v>60</c:v>
                </c:pt>
                <c:pt idx="18">
                  <c:v>67</c:v>
                </c:pt>
                <c:pt idx="19">
                  <c:v>74</c:v>
                </c:pt>
                <c:pt idx="20">
                  <c:v>81</c:v>
                </c:pt>
                <c:pt idx="21">
                  <c:v>84.5</c:v>
                </c:pt>
                <c:pt idx="22">
                  <c:v>88</c:v>
                </c:pt>
                <c:pt idx="23">
                  <c:v>102</c:v>
                </c:pt>
                <c:pt idx="24">
                  <c:v>117</c:v>
                </c:pt>
                <c:pt idx="25">
                  <c:v>132</c:v>
                </c:pt>
                <c:pt idx="26">
                  <c:v>152</c:v>
                </c:pt>
                <c:pt idx="27">
                  <c:v>182</c:v>
                </c:pt>
                <c:pt idx="28">
                  <c:v>201.8</c:v>
                </c:pt>
                <c:pt idx="29">
                  <c:v>221.6</c:v>
                </c:pt>
                <c:pt idx="30">
                  <c:v>241.4</c:v>
                </c:pt>
                <c:pt idx="31">
                  <c:v>271.1</c:v>
                </c:pt>
              </c:numCache>
            </c:numRef>
          </c:yVal>
          <c:smooth val="0"/>
        </c:ser>
        <c:ser>
          <c:idx val="1"/>
          <c:order val="1"/>
          <c:tx>
            <c:strRef>
              <c:f>养成框架!$S$63</c:f>
              <c:strCache>
                <c:ptCount val="1"/>
                <c:pt idx="0">
                  <c:v>玩家等级</c:v>
                </c:pt>
              </c:strCache>
            </c:strRef>
          </c:tx>
          <c:spPr>
            <a:ln w="19050" cap="rnd">
              <a:noFill/>
              <a:round/>
            </a:ln>
            <a:effectLst/>
          </c:spPr>
          <c:marker>
            <c:symbol val="circle"/>
            <c:size val="5"/>
            <c:spPr>
              <a:solidFill>
                <a:schemeClr val="accent2"/>
              </a:solidFill>
              <a:ln w="9525">
                <a:solidFill>
                  <a:schemeClr val="accent2"/>
                </a:solidFill>
              </a:ln>
              <a:effectLst/>
            </c:spPr>
          </c:marker>
          <c:dLbls>
            <c:delete val="1"/>
          </c:dLbls>
          <c:yVal>
            <c:numRef>
              <c:f>养成框架!$S$64:$S$95</c:f>
              <c:numCache>
                <c:formatCode>General</c:formatCode>
                <c:ptCount val="32"/>
                <c:pt idx="0">
                  <c:v>12</c:v>
                </c:pt>
                <c:pt idx="1">
                  <c:v>18</c:v>
                </c:pt>
                <c:pt idx="2">
                  <c:v>22</c:v>
                </c:pt>
                <c:pt idx="3">
                  <c:v>25</c:v>
                </c:pt>
                <c:pt idx="4">
                  <c:v>28</c:v>
                </c:pt>
                <c:pt idx="5">
                  <c:v>30</c:v>
                </c:pt>
                <c:pt idx="6">
                  <c:v>32</c:v>
                </c:pt>
                <c:pt idx="7">
                  <c:v>34</c:v>
                </c:pt>
                <c:pt idx="8">
                  <c:v>36</c:v>
                </c:pt>
                <c:pt idx="9">
                  <c:v>38</c:v>
                </c:pt>
                <c:pt idx="10">
                  <c:v>40</c:v>
                </c:pt>
                <c:pt idx="11">
                  <c:v>42</c:v>
                </c:pt>
                <c:pt idx="12">
                  <c:v>44</c:v>
                </c:pt>
                <c:pt idx="13">
                  <c:v>45</c:v>
                </c:pt>
                <c:pt idx="14">
                  <c:v>46</c:v>
                </c:pt>
                <c:pt idx="15">
                  <c:v>47</c:v>
                </c:pt>
                <c:pt idx="16">
                  <c:v>51</c:v>
                </c:pt>
                <c:pt idx="17" c:formatCode="0_ ">
                  <c:v>56</c:v>
                </c:pt>
                <c:pt idx="18" c:formatCode="0_ ">
                  <c:v>61</c:v>
                </c:pt>
                <c:pt idx="19" c:formatCode="0_ ">
                  <c:v>66</c:v>
                </c:pt>
                <c:pt idx="20" c:formatCode="0_ ">
                  <c:v>71</c:v>
                </c:pt>
                <c:pt idx="21" c:formatCode="0_ ">
                  <c:v>76</c:v>
                </c:pt>
                <c:pt idx="22" c:formatCode="0_ ">
                  <c:v>78.5</c:v>
                </c:pt>
                <c:pt idx="23" c:formatCode="0_ ">
                  <c:v>88.5</c:v>
                </c:pt>
                <c:pt idx="24" c:formatCode="0_ ">
                  <c:v>93.8571428571429</c:v>
                </c:pt>
                <c:pt idx="25" c:formatCode="0_ ">
                  <c:v>99.2142857142858</c:v>
                </c:pt>
                <c:pt idx="26" c:formatCode="0_ ">
                  <c:v>106.357142857143</c:v>
                </c:pt>
                <c:pt idx="27" c:formatCode="0_ ">
                  <c:v>117.071428571429</c:v>
                </c:pt>
                <c:pt idx="28" c:formatCode="0_ ">
                  <c:v>127.785714285714</c:v>
                </c:pt>
                <c:pt idx="29" c:formatCode="0_ ">
                  <c:v>138.5</c:v>
                </c:pt>
                <c:pt idx="30" c:formatCode="0_ ">
                  <c:v>149.214285714286</c:v>
                </c:pt>
                <c:pt idx="31" c:formatCode="0_ ">
                  <c:v>165.285714285714</c:v>
                </c:pt>
              </c:numCache>
            </c:numRef>
          </c:yVal>
          <c:smooth val="0"/>
        </c:ser>
        <c:dLbls>
          <c:showLegendKey val="0"/>
          <c:showVal val="0"/>
          <c:showCatName val="0"/>
          <c:showSerName val="0"/>
          <c:showPercent val="0"/>
          <c:showBubbleSize val="0"/>
        </c:dLbls>
        <c:axId val="387872517"/>
        <c:axId val="94680354"/>
      </c:scatterChart>
      <c:valAx>
        <c:axId val="387872517"/>
        <c:scaling>
          <c:orientation val="minMax"/>
        </c:scaling>
        <c:delete val="0"/>
        <c:axPos val="b"/>
        <c:majorGridlines>
          <c:spPr>
            <a:ln w="9525" cap="flat" cmpd="sng" algn="ctr">
              <a:solidFill>
                <a:schemeClr val="lt1">
                  <a:lumMod val="902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4680354"/>
        <c:crosses val="autoZero"/>
        <c:crossBetween val="midCat"/>
      </c:valAx>
      <c:valAx>
        <c:axId val="94680354"/>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87872517"/>
        <c:crosses val="autoZero"/>
        <c:crossBetween val="midCat"/>
      </c:valAx>
      <c:spPr>
        <a:noFill/>
        <a:ln w="9525" cap="flat" cmpd="sng" algn="ctr">
          <a:solidFill>
            <a:schemeClr val="tx1">
              <a:lumMod val="15000"/>
              <a:lumOff val="85000"/>
            </a:schemeClr>
          </a:solidFill>
          <a:round/>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cb10a526-987f-48f8-b728-841ec49d6f4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rPr lang="zh-CN" altLang="en-US"/>
              <a:t>基础关卡速率</a:t>
            </a:r>
            <a:endParaRPr lang="zh-CN" altLang="en-US"/>
          </a:p>
        </c:rich>
      </c:tx>
      <c:layout/>
      <c:overlay val="0"/>
      <c:spPr>
        <a:noFill/>
        <a:ln>
          <a:noFill/>
        </a:ln>
        <a:effectLst/>
      </c:spPr>
    </c:title>
    <c:autoTitleDeleted val="0"/>
    <c:plotArea>
      <c:layout>
        <c:manualLayout>
          <c:layoutTarget val="inner"/>
          <c:xMode val="edge"/>
          <c:yMode val="edge"/>
          <c:x val="0.080878612716763"/>
          <c:y val="0.179861111111111"/>
          <c:w val="0.892820809248555"/>
          <c:h val="0.607268518518518"/>
        </c:manualLayout>
      </c:layout>
      <c:scatterChart>
        <c:scatterStyle val="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elete val="1"/>
          </c:dLbls>
          <c:yVal>
            <c:numRef>
              <c:f>'属性规划(新)'!$E$124:$E$723</c:f>
              <c:numCache>
                <c:formatCode>0.00_ </c:formatCode>
                <c:ptCount val="600"/>
                <c:pt idx="0">
                  <c:v>0</c:v>
                </c:pt>
                <c:pt idx="1">
                  <c:v>9.91614425994432</c:v>
                </c:pt>
                <c:pt idx="2">
                  <c:v>5.2246775687914</c:v>
                </c:pt>
                <c:pt idx="3">
                  <c:v>7.53881268173296</c:v>
                </c:pt>
                <c:pt idx="4">
                  <c:v>3.60803168282605</c:v>
                </c:pt>
                <c:pt idx="5">
                  <c:v>2.82954346295083</c:v>
                </c:pt>
                <c:pt idx="6">
                  <c:v>2.23272491770513</c:v>
                </c:pt>
                <c:pt idx="7">
                  <c:v>2.15996508277053</c:v>
                </c:pt>
                <c:pt idx="8">
                  <c:v>4.5234743586685</c:v>
                </c:pt>
                <c:pt idx="9">
                  <c:v>2.07683442832446</c:v>
                </c:pt>
                <c:pt idx="10">
                  <c:v>2.04322479812592</c:v>
                </c:pt>
                <c:pt idx="11">
                  <c:v>1.88810999408574</c:v>
                </c:pt>
                <c:pt idx="12">
                  <c:v>1.20202644443133</c:v>
                </c:pt>
                <c:pt idx="13">
                  <c:v>2.71902588500375</c:v>
                </c:pt>
                <c:pt idx="14">
                  <c:v>1.30390872593617</c:v>
                </c:pt>
                <c:pt idx="15">
                  <c:v>1.27070641413892</c:v>
                </c:pt>
                <c:pt idx="16">
                  <c:v>1.98275326805942</c:v>
                </c:pt>
                <c:pt idx="17">
                  <c:v>1.21117602988932</c:v>
                </c:pt>
                <c:pt idx="18">
                  <c:v>1.18437927686887</c:v>
                </c:pt>
                <c:pt idx="19">
                  <c:v>1.15930174639938</c:v>
                </c:pt>
                <c:pt idx="20">
                  <c:v>1.40368629101162</c:v>
                </c:pt>
                <c:pt idx="21">
                  <c:v>0.970556526640335</c:v>
                </c:pt>
                <c:pt idx="22">
                  <c:v>0.950340182590496</c:v>
                </c:pt>
                <c:pt idx="23">
                  <c:v>0.93130000028006</c:v>
                </c:pt>
                <c:pt idx="24">
                  <c:v>0.913337989450139</c:v>
                </c:pt>
                <c:pt idx="25">
                  <c:v>0.896366982891048</c:v>
                </c:pt>
                <c:pt idx="26">
                  <c:v>0.880309159701048</c:v>
                </c:pt>
                <c:pt idx="27">
                  <c:v>0.865094806338697</c:v>
                </c:pt>
                <c:pt idx="28">
                  <c:v>0.850661271669544</c:v>
                </c:pt>
                <c:pt idx="29">
                  <c:v>1.68175781012521</c:v>
                </c:pt>
                <c:pt idx="30">
                  <c:v>0.723371057108439</c:v>
                </c:pt>
                <c:pt idx="31">
                  <c:v>0.71365916022409</c:v>
                </c:pt>
                <c:pt idx="32">
                  <c:v>0.704423089398342</c:v>
                </c:pt>
                <c:pt idx="33">
                  <c:v>0.695630450132727</c:v>
                </c:pt>
                <c:pt idx="34">
                  <c:v>0.687251777460146</c:v>
                </c:pt>
                <c:pt idx="35">
                  <c:v>0.679260209074204</c:v>
                </c:pt>
                <c:pt idx="36">
                  <c:v>0.671631201441219</c:v>
                </c:pt>
                <c:pt idx="37">
                  <c:v>0.664342282430537</c:v>
                </c:pt>
                <c:pt idx="38">
                  <c:v>0.657372835088234</c:v>
                </c:pt>
                <c:pt idx="39">
                  <c:v>0.650703908064793</c:v>
                </c:pt>
                <c:pt idx="40">
                  <c:v>0.644318048933089</c:v>
                </c:pt>
                <c:pt idx="41">
                  <c:v>0.638199157228886</c:v>
                </c:pt>
                <c:pt idx="42">
                  <c:v>0.632332354537509</c:v>
                </c:pt>
                <c:pt idx="43">
                  <c:v>0.626703869358562</c:v>
                </c:pt>
                <c:pt idx="44">
                  <c:v>0.621300934818843</c:v>
                </c:pt>
                <c:pt idx="45">
                  <c:v>0.616111697586951</c:v>
                </c:pt>
                <c:pt idx="46">
                  <c:v>0.611125136580274</c:v>
                </c:pt>
                <c:pt idx="47">
                  <c:v>0.606330990254212</c:v>
                </c:pt>
                <c:pt idx="48">
                  <c:v>1.5556039707273</c:v>
                </c:pt>
                <c:pt idx="49">
                  <c:v>0.597282308772751</c:v>
                </c:pt>
                <c:pt idx="50">
                  <c:v>0.593010494108086</c:v>
                </c:pt>
                <c:pt idx="51">
                  <c:v>0.588896434955726</c:v>
                </c:pt>
                <c:pt idx="52">
                  <c:v>0.584932811637386</c:v>
                </c:pt>
                <c:pt idx="53">
                  <c:v>0.581112758478976</c:v>
                </c:pt>
                <c:pt idx="54">
                  <c:v>0.577429828647304</c:v>
                </c:pt>
                <c:pt idx="55">
                  <c:v>0.573877962230263</c:v>
                </c:pt>
                <c:pt idx="56">
                  <c:v>0.570451457214438</c:v>
                </c:pt>
                <c:pt idx="57">
                  <c:v>0.567144943058192</c:v>
                </c:pt>
                <c:pt idx="58">
                  <c:v>0.563953356590724</c:v>
                </c:pt>
                <c:pt idx="59">
                  <c:v>6.55367723394591</c:v>
                </c:pt>
                <c:pt idx="60">
                  <c:v>0.596436107333462</c:v>
                </c:pt>
                <c:pt idx="61">
                  <c:v>0.592864700578041</c:v>
                </c:pt>
                <c:pt idx="62">
                  <c:v>0.589409487608006</c:v>
                </c:pt>
                <c:pt idx="63">
                  <c:v>0.586065968468415</c:v>
                </c:pt>
                <c:pt idx="64">
                  <c:v>0.582829873720477</c:v>
                </c:pt>
                <c:pt idx="65">
                  <c:v>0.57969714967646</c:v>
                </c:pt>
                <c:pt idx="66">
                  <c:v>0.576663944767396</c:v>
                </c:pt>
                <c:pt idx="67">
                  <c:v>0.573726596942037</c:v>
                </c:pt>
                <c:pt idx="68">
                  <c:v>0.57088162200716</c:v>
                </c:pt>
                <c:pt idx="69">
                  <c:v>0.56812570282639</c:v>
                </c:pt>
                <c:pt idx="70">
                  <c:v>0.565455679306321</c:v>
                </c:pt>
                <c:pt idx="71">
                  <c:v>0.562868539099348</c:v>
                </c:pt>
                <c:pt idx="72">
                  <c:v>0.560361408968771</c:v>
                </c:pt>
                <c:pt idx="73">
                  <c:v>0.55793154675637</c:v>
                </c:pt>
                <c:pt idx="74">
                  <c:v>0.555576333906888</c:v>
                </c:pt>
                <c:pt idx="75">
                  <c:v>0.553293268503101</c:v>
                </c:pt>
                <c:pt idx="76">
                  <c:v>0.55107995877143</c:v>
                </c:pt>
                <c:pt idx="77">
                  <c:v>0.548934117020719</c:v>
                </c:pt>
                <c:pt idx="78">
                  <c:v>0.546853553980853</c:v>
                </c:pt>
                <c:pt idx="79">
                  <c:v>0.544836173510709</c:v>
                </c:pt>
                <c:pt idx="80">
                  <c:v>0.542879967646967</c:v>
                </c:pt>
                <c:pt idx="81">
                  <c:v>0.540983011968588</c:v>
                </c:pt>
                <c:pt idx="82">
                  <c:v>0.539143461253377</c:v>
                </c:pt>
                <c:pt idx="83">
                  <c:v>0.537359545405301</c:v>
                </c:pt>
                <c:pt idx="84">
                  <c:v>0.535629565632996</c:v>
                </c:pt>
                <c:pt idx="85">
                  <c:v>0.533951890861014</c:v>
                </c:pt>
                <c:pt idx="86">
                  <c:v>0.532324954358152</c:v>
                </c:pt>
                <c:pt idx="87">
                  <c:v>1.59965216089172</c:v>
                </c:pt>
                <c:pt idx="88">
                  <c:v>0.529217332118423</c:v>
                </c:pt>
                <c:pt idx="89">
                  <c:v>0.527733807027345</c:v>
                </c:pt>
                <c:pt idx="90">
                  <c:v>0.5262953360418</c:v>
                </c:pt>
                <c:pt idx="91">
                  <c:v>0.524900630150607</c:v>
                </c:pt>
                <c:pt idx="92">
                  <c:v>0.523548448229784</c:v>
                </c:pt>
                <c:pt idx="93">
                  <c:v>0.522237594821482</c:v>
                </c:pt>
                <c:pt idx="94">
                  <c:v>0.520966918036764</c:v>
                </c:pt>
                <c:pt idx="95">
                  <c:v>0.519735307573339</c:v>
                </c:pt>
                <c:pt idx="96">
                  <c:v>0.518541692842116</c:v>
                </c:pt>
                <c:pt idx="97">
                  <c:v>0.517385041194374</c:v>
                </c:pt>
                <c:pt idx="98">
                  <c:v>0.516264356244244</c:v>
                </c:pt>
                <c:pt idx="99">
                  <c:v>0.515178676279968</c:v>
                </c:pt>
                <c:pt idx="100">
                  <c:v>0.514127072758554</c:v>
                </c:pt>
                <c:pt idx="101">
                  <c:v>0.513108648879076</c:v>
                </c:pt>
                <c:pt idx="102">
                  <c:v>0.512122538229306</c:v>
                </c:pt>
                <c:pt idx="103">
                  <c:v>0.511167903501615</c:v>
                </c:pt>
                <c:pt idx="104">
                  <c:v>0.510243935274042</c:v>
                </c:pt>
                <c:pt idx="105">
                  <c:v>0.509349850852531</c:v>
                </c:pt>
                <c:pt idx="106">
                  <c:v>0.50848489317074</c:v>
                </c:pt>
                <c:pt idx="107">
                  <c:v>0.507648329744163</c:v>
                </c:pt>
                <c:pt idx="108">
                  <c:v>0.506839451675734</c:v>
                </c:pt>
                <c:pt idx="109">
                  <c:v>0.506057572709185</c:v>
                </c:pt>
                <c:pt idx="110">
                  <c:v>0.505302028328324</c:v>
                </c:pt>
                <c:pt idx="111">
                  <c:v>0.504572174899186</c:v>
                </c:pt>
                <c:pt idx="112">
                  <c:v>0.503867388852737</c:v>
                </c:pt>
                <c:pt idx="113">
                  <c:v>0.503187065905969</c:v>
                </c:pt>
                <c:pt idx="114">
                  <c:v>0.502530620319241</c:v>
                </c:pt>
                <c:pt idx="115">
                  <c:v>0.501897484187997</c:v>
                </c:pt>
                <c:pt idx="116">
                  <c:v>0.378293775986517</c:v>
                </c:pt>
                <c:pt idx="117">
                  <c:v>0.366837526426607</c:v>
                </c:pt>
                <c:pt idx="118">
                  <c:v>0.365151509675144</c:v>
                </c:pt>
                <c:pt idx="119">
                  <c:v>3.37269690396105</c:v>
                </c:pt>
                <c:pt idx="120">
                  <c:v>0.421566377151051</c:v>
                </c:pt>
                <c:pt idx="121">
                  <c:v>0.418952240411762</c:v>
                </c:pt>
                <c:pt idx="122">
                  <c:v>0.416385124311489</c:v>
                </c:pt>
                <c:pt idx="123">
                  <c:v>0.413863718218923</c:v>
                </c:pt>
                <c:pt idx="124">
                  <c:v>0.411386760901248</c:v>
                </c:pt>
                <c:pt idx="125">
                  <c:v>0.408953038183196</c:v>
                </c:pt>
                <c:pt idx="126">
                  <c:v>0.406561380739088</c:v>
                </c:pt>
                <c:pt idx="127">
                  <c:v>0.404210662009645</c:v>
                </c:pt>
                <c:pt idx="128">
                  <c:v>0.401899796234929</c:v>
                </c:pt>
                <c:pt idx="129">
                  <c:v>0.399627736596269</c:v>
                </c:pt>
                <c:pt idx="130">
                  <c:v>0.408952632078741</c:v>
                </c:pt>
                <c:pt idx="131">
                  <c:v>0.421033138783439</c:v>
                </c:pt>
                <c:pt idx="132">
                  <c:v>0.419078504886596</c:v>
                </c:pt>
                <c:pt idx="133">
                  <c:v>0.417158733233133</c:v>
                </c:pt>
                <c:pt idx="134">
                  <c:v>0.415272947340701</c:v>
                </c:pt>
                <c:pt idx="135">
                  <c:v>0.413420300444003</c:v>
                </c:pt>
                <c:pt idx="136">
                  <c:v>0.411599974227102</c:v>
                </c:pt>
                <c:pt idx="137">
                  <c:v>0.409811177621883</c:v>
                </c:pt>
                <c:pt idx="138">
                  <c:v>0.40805314566687</c:v>
                </c:pt>
                <c:pt idx="139">
                  <c:v>0.406325138423302</c:v>
                </c:pt>
                <c:pt idx="140">
                  <c:v>0.404626439946237</c:v>
                </c:pt>
                <c:pt idx="141">
                  <c:v>0.402956357305443</c:v>
                </c:pt>
                <c:pt idx="142">
                  <c:v>0.401314219655295</c:v>
                </c:pt>
                <c:pt idx="143">
                  <c:v>0.399699377349489</c:v>
                </c:pt>
                <c:pt idx="144">
                  <c:v>0.398111201097982</c:v>
                </c:pt>
                <c:pt idx="145">
                  <c:v>0.396549081165425</c:v>
                </c:pt>
                <c:pt idx="146">
                  <c:v>0.395012426606034</c:v>
                </c:pt>
                <c:pt idx="147">
                  <c:v>0.39350066453602</c:v>
                </c:pt>
                <c:pt idx="148">
                  <c:v>0.392013239438956</c:v>
                </c:pt>
                <c:pt idx="149">
                  <c:v>0.390549612503181</c:v>
                </c:pt>
                <c:pt idx="150">
                  <c:v>0.389109260990547</c:v>
                </c:pt>
                <c:pt idx="151">
                  <c:v>0.387691677632607</c:v>
                </c:pt>
                <c:pt idx="152">
                  <c:v>0.386296370055297</c:v>
                </c:pt>
                <c:pt idx="153">
                  <c:v>0.384922860228733</c:v>
                </c:pt>
                <c:pt idx="154">
                  <c:v>0.383570683941096</c:v>
                </c:pt>
                <c:pt idx="155">
                  <c:v>0.382239390296845</c:v>
                </c:pt>
                <c:pt idx="156">
                  <c:v>0.380928541235453</c:v>
                </c:pt>
                <c:pt idx="157">
                  <c:v>0.379637711072618</c:v>
                </c:pt>
                <c:pt idx="158">
                  <c:v>0.378366486059814</c:v>
                </c:pt>
                <c:pt idx="159">
                  <c:v>0.377114463963395</c:v>
                </c:pt>
                <c:pt idx="160">
                  <c:v>0.375881253661605</c:v>
                </c:pt>
                <c:pt idx="161">
                  <c:v>0.374666474758289</c:v>
                </c:pt>
                <c:pt idx="162">
                  <c:v>0.373469757212907</c:v>
                </c:pt>
                <c:pt idx="163">
                  <c:v>1.56061517920105</c:v>
                </c:pt>
                <c:pt idx="164">
                  <c:v>0.371129075698694</c:v>
                </c:pt>
                <c:pt idx="165">
                  <c:v>0.369984420307275</c:v>
                </c:pt>
                <c:pt idx="166">
                  <c:v>0.368856442789723</c:v>
                </c:pt>
                <c:pt idx="167">
                  <c:v>0.367744819845752</c:v>
                </c:pt>
                <c:pt idx="168">
                  <c:v>0.366649236608521</c:v>
                </c:pt>
                <c:pt idx="169">
                  <c:v>0.365569386367749</c:v>
                </c:pt>
                <c:pt idx="170">
                  <c:v>0.36450497030397</c:v>
                </c:pt>
                <c:pt idx="171">
                  <c:v>0.363455697233393</c:v>
                </c:pt>
                <c:pt idx="172">
                  <c:v>0.362421283361627</c:v>
                </c:pt>
                <c:pt idx="173">
                  <c:v>0.361401452048878</c:v>
                </c:pt>
                <c:pt idx="174">
                  <c:v>0.360395933581986</c:v>
                </c:pt>
                <c:pt idx="175">
                  <c:v>0.359404464956847</c:v>
                </c:pt>
                <c:pt idx="176">
                  <c:v>0.358426789668269</c:v>
                </c:pt>
                <c:pt idx="177">
                  <c:v>0.357462657507678</c:v>
                </c:pt>
                <c:pt idx="178">
                  <c:v>0.356511824369185</c:v>
                </c:pt>
                <c:pt idx="179">
                  <c:v>3.36478218485551</c:v>
                </c:pt>
                <c:pt idx="180">
                  <c:v>0.414366670157619</c:v>
                </c:pt>
                <c:pt idx="181">
                  <c:v>0.412457846075936</c:v>
                </c:pt>
                <c:pt idx="182">
                  <c:v>0.410586589468867</c:v>
                </c:pt>
                <c:pt idx="183">
                  <c:v>0.408751827982951</c:v>
                </c:pt>
                <c:pt idx="184">
                  <c:v>0.406952530965864</c:v>
                </c:pt>
                <c:pt idx="185">
                  <c:v>0.405187707426657</c:v>
                </c:pt>
                <c:pt idx="186">
                  <c:v>0.403456404115024</c:v>
                </c:pt>
                <c:pt idx="187">
                  <c:v>0.401757703711604</c:v>
                </c:pt>
                <c:pt idx="188">
                  <c:v>0.400090723123652</c:v>
                </c:pt>
                <c:pt idx="189">
                  <c:v>0.398454611875724</c:v>
                </c:pt>
                <c:pt idx="190">
                  <c:v>0.396848550592735</c:v>
                </c:pt>
                <c:pt idx="191">
                  <c:v>0.395271749566901</c:v>
                </c:pt>
                <c:pt idx="192">
                  <c:v>0.393723447403471</c:v>
                </c:pt>
                <c:pt idx="193">
                  <c:v>0.392202909741975</c:v>
                </c:pt>
                <c:pt idx="194">
                  <c:v>0.390709428045166</c:v>
                </c:pt>
                <c:pt idx="195">
                  <c:v>0.389242318454103</c:v>
                </c:pt>
                <c:pt idx="196">
                  <c:v>0.387800920704204</c:v>
                </c:pt>
                <c:pt idx="197">
                  <c:v>0.38638459709749</c:v>
                </c:pt>
                <c:pt idx="198">
                  <c:v>0.384992731530128</c:v>
                </c:pt>
                <c:pt idx="199">
                  <c:v>0.383624728568657</c:v>
                </c:pt>
                <c:pt idx="200">
                  <c:v>0.38228001257502</c:v>
                </c:pt>
                <c:pt idx="201">
                  <c:v>0.380958026875388</c:v>
                </c:pt>
                <c:pt idx="202">
                  <c:v>0.379658232971038</c:v>
                </c:pt>
                <c:pt idx="203">
                  <c:v>0.378380109788859</c:v>
                </c:pt>
                <c:pt idx="204">
                  <c:v>0.377123152968948</c:v>
                </c:pt>
                <c:pt idx="205">
                  <c:v>0.375886874187123</c:v>
                </c:pt>
                <c:pt idx="206">
                  <c:v>0.374670800510707</c:v>
                </c:pt>
                <c:pt idx="207">
                  <c:v>0.373474473785007</c:v>
                </c:pt>
                <c:pt idx="208">
                  <c:v>0.372297450049744</c:v>
                </c:pt>
                <c:pt idx="209">
                  <c:v>0.371139298982879</c:v>
                </c:pt>
                <c:pt idx="210">
                  <c:v>0.36999960337073</c:v>
                </c:pt>
                <c:pt idx="211">
                  <c:v>0.368877958602918</c:v>
                </c:pt>
                <c:pt idx="212">
                  <c:v>0.367773972190602</c:v>
                </c:pt>
                <c:pt idx="213">
                  <c:v>0.366687263307046</c:v>
                </c:pt>
                <c:pt idx="214">
                  <c:v>0.365617462349265</c:v>
                </c:pt>
                <c:pt idx="215">
                  <c:v>0.364564210519028</c:v>
                </c:pt>
                <c:pt idx="216">
                  <c:v>0.363527159423352</c:v>
                </c:pt>
                <c:pt idx="217">
                  <c:v>0.362505970692143</c:v>
                </c:pt>
                <c:pt idx="218">
                  <c:v>0.361500315613294</c:v>
                </c:pt>
                <c:pt idx="219">
                  <c:v>0.36050987478356</c:v>
                </c:pt>
                <c:pt idx="220">
                  <c:v>0.359534337774656</c:v>
                </c:pt>
                <c:pt idx="221">
                  <c:v>0.358573402813774</c:v>
                </c:pt>
                <c:pt idx="222">
                  <c:v>0.357626776477779</c:v>
                </c:pt>
                <c:pt idx="223">
                  <c:v>0.356694173400566</c:v>
                </c:pt>
                <c:pt idx="224">
                  <c:v>0.355775315992864</c:v>
                </c:pt>
                <c:pt idx="225">
                  <c:v>0.354869934173293</c:v>
                </c:pt>
                <c:pt idx="226">
                  <c:v>0.353977765111296</c:v>
                </c:pt>
                <c:pt idx="227">
                  <c:v>0.353098552980179</c:v>
                </c:pt>
                <c:pt idx="228">
                  <c:v>0.334749992164066</c:v>
                </c:pt>
                <c:pt idx="229">
                  <c:v>0.311507327564744</c:v>
                </c:pt>
                <c:pt idx="230">
                  <c:v>0.31061753834023</c:v>
                </c:pt>
                <c:pt idx="231">
                  <c:v>0.30973975328421</c:v>
                </c:pt>
                <c:pt idx="232">
                  <c:v>0.308873748225915</c:v>
                </c:pt>
                <c:pt idx="233">
                  <c:v>0.308019304714511</c:v>
                </c:pt>
                <c:pt idx="234">
                  <c:v>0.30717620983443</c:v>
                </c:pt>
                <c:pt idx="235">
                  <c:v>0.306344256026948</c:v>
                </c:pt>
                <c:pt idx="236">
                  <c:v>0.30552324091925</c:v>
                </c:pt>
                <c:pt idx="237">
                  <c:v>0.304712967160565</c:v>
                </c:pt>
                <c:pt idx="238">
                  <c:v>0.303913242262998</c:v>
                </c:pt>
                <c:pt idx="239">
                  <c:v>3.31233201124419</c:v>
                </c:pt>
                <c:pt idx="240">
                  <c:v>0.362062254540403</c:v>
                </c:pt>
                <c:pt idx="241">
                  <c:v>0.360296586059725</c:v>
                </c:pt>
                <c:pt idx="242">
                  <c:v>0.358565929664136</c:v>
                </c:pt>
                <c:pt idx="243">
                  <c:v>0.356869258928416</c:v>
                </c:pt>
                <c:pt idx="244">
                  <c:v>0.355205588084595</c:v>
                </c:pt>
                <c:pt idx="245">
                  <c:v>0.353573970009902</c:v>
                </c:pt>
                <c:pt idx="246">
                  <c:v>0.35197349433405</c:v>
                </c:pt>
                <c:pt idx="247">
                  <c:v>0.3504032856571</c:v>
                </c:pt>
                <c:pt idx="248">
                  <c:v>0.348862501869929</c:v>
                </c:pt>
                <c:pt idx="249">
                  <c:v>0.347350332571951</c:v>
                </c:pt>
                <c:pt idx="250">
                  <c:v>0.345865997576864</c:v>
                </c:pt>
                <c:pt idx="251">
                  <c:v>0.344408745504388</c:v>
                </c:pt>
                <c:pt idx="252">
                  <c:v>0.342977852448813</c:v>
                </c:pt>
                <c:pt idx="253">
                  <c:v>0.341572620721594</c:v>
                </c:pt>
                <c:pt idx="254">
                  <c:v>0.340192377663292</c:v>
                </c:pt>
                <c:pt idx="255">
                  <c:v>0.338836474518233</c:v>
                </c:pt>
                <c:pt idx="256">
                  <c:v>0.337504285371383</c:v>
                </c:pt>
                <c:pt idx="257">
                  <c:v>0.336195206140318</c:v>
                </c:pt>
                <c:pt idx="258">
                  <c:v>0.334908653620987</c:v>
                </c:pt>
                <c:pt idx="259">
                  <c:v>0.333644064583673</c:v>
                </c:pt>
                <c:pt idx="260">
                  <c:v>0.332400894914602</c:v>
                </c:pt>
                <c:pt idx="261">
                  <c:v>0.331178618802885</c:v>
                </c:pt>
                <c:pt idx="262">
                  <c:v>0.329976727967974</c:v>
                </c:pt>
                <c:pt idx="263">
                  <c:v>0.328794730926323</c:v>
                </c:pt>
                <c:pt idx="264">
                  <c:v>0.327632152295261</c:v>
                </c:pt>
                <c:pt idx="265">
                  <c:v>0.326488532130412</c:v>
                </c:pt>
                <c:pt idx="266">
                  <c:v>0.325363425296568</c:v>
                </c:pt>
                <c:pt idx="267">
                  <c:v>0.32425640086873</c:v>
                </c:pt>
                <c:pt idx="268">
                  <c:v>0.323167041562312</c:v>
                </c:pt>
                <c:pt idx="269">
                  <c:v>0.322094943191113</c:v>
                </c:pt>
                <c:pt idx="270">
                  <c:v>0.321039714150051</c:v>
                </c:pt>
                <c:pt idx="271">
                  <c:v>0.320000974923518</c:v>
                </c:pt>
                <c:pt idx="272">
                  <c:v>0.318978357615815</c:v>
                </c:pt>
                <c:pt idx="273">
                  <c:v>0.317971505503864</c:v>
                </c:pt>
                <c:pt idx="274">
                  <c:v>0.316980072610943</c:v>
                </c:pt>
                <c:pt idx="275">
                  <c:v>0.316003723298717</c:v>
                </c:pt>
                <c:pt idx="276">
                  <c:v>0.315042131879198</c:v>
                </c:pt>
                <c:pt idx="277">
                  <c:v>0.314094982243203</c:v>
                </c:pt>
                <c:pt idx="278">
                  <c:v>0.313161967505601</c:v>
                </c:pt>
                <c:pt idx="279">
                  <c:v>0.312242789667157</c:v>
                </c:pt>
                <c:pt idx="280">
                  <c:v>0.31133715928977</c:v>
                </c:pt>
                <c:pt idx="281">
                  <c:v>0.310444795187129</c:v>
                </c:pt>
                <c:pt idx="282">
                  <c:v>0.30956542412826</c:v>
                </c:pt>
                <c:pt idx="283">
                  <c:v>0.308698780554195</c:v>
                </c:pt>
                <c:pt idx="284">
                  <c:v>0.307844606305968</c:v>
                </c:pt>
                <c:pt idx="285">
                  <c:v>0.307002650365374</c:v>
                </c:pt>
                <c:pt idx="286">
                  <c:v>0.306172668605576</c:v>
                </c:pt>
                <c:pt idx="287">
                  <c:v>0.30535442355266</c:v>
                </c:pt>
                <c:pt idx="288">
                  <c:v>0.304547684156919</c:v>
                </c:pt>
                <c:pt idx="289">
                  <c:v>0.303752225573838</c:v>
                </c:pt>
                <c:pt idx="290">
                  <c:v>0.302967828953732</c:v>
                </c:pt>
                <c:pt idx="291">
                  <c:v>0.302194281240137</c:v>
                </c:pt>
                <c:pt idx="292">
                  <c:v>0.301431374976191</c:v>
                </c:pt>
                <c:pt idx="293">
                  <c:v>0.300678908119009</c:v>
                </c:pt>
                <c:pt idx="294">
                  <c:v>0.299936683861118</c:v>
                </c:pt>
                <c:pt idx="295">
                  <c:v>0.2992045104595</c:v>
                </c:pt>
                <c:pt idx="296">
                  <c:v>0.298482201070668</c:v>
                </c:pt>
                <c:pt idx="297">
                  <c:v>0.297769573592901</c:v>
                </c:pt>
                <c:pt idx="298">
                  <c:v>0.297066450513737</c:v>
                </c:pt>
                <c:pt idx="299">
                  <c:v>3.30558079155811</c:v>
                </c:pt>
                <c:pt idx="300">
                  <c:v>0.35540559160719</c:v>
                </c:pt>
                <c:pt idx="301">
                  <c:v>0.3537334787582</c:v>
                </c:pt>
                <c:pt idx="302">
                  <c:v>0.352095390810444</c:v>
                </c:pt>
                <c:pt idx="303">
                  <c:v>0.350490315031123</c:v>
                </c:pt>
                <c:pt idx="304">
                  <c:v>0.348917279103799</c:v>
                </c:pt>
                <c:pt idx="305">
                  <c:v>0.347375349122269</c:v>
                </c:pt>
                <c:pt idx="306">
                  <c:v>0.345863627702678</c:v>
                </c:pt>
                <c:pt idx="307">
                  <c:v>0.344381252205845</c:v>
                </c:pt>
                <c:pt idx="308">
                  <c:v>0.342927393063235</c:v>
                </c:pt>
                <c:pt idx="309">
                  <c:v>0.341501252197979</c:v>
                </c:pt>
                <c:pt idx="310">
                  <c:v>0.340102061536933</c:v>
                </c:pt>
                <c:pt idx="311">
                  <c:v>0.338729081605302</c:v>
                </c:pt>
                <c:pt idx="312">
                  <c:v>0.337381600200167</c:v>
                </c:pt>
                <c:pt idx="313">
                  <c:v>0.3360589311373</c:v>
                </c:pt>
                <c:pt idx="314">
                  <c:v>1.64509153196142</c:v>
                </c:pt>
                <c:pt idx="315">
                  <c:v>0.333485408351773</c:v>
                </c:pt>
                <c:pt idx="316">
                  <c:v>0.332233302009986</c:v>
                </c:pt>
                <c:pt idx="317">
                  <c:v>0.331003500708432</c:v>
                </c:pt>
                <c:pt idx="318">
                  <c:v>0.329795431813533</c:v>
                </c:pt>
                <c:pt idx="319">
                  <c:v>0.328608542490288</c:v>
                </c:pt>
                <c:pt idx="320">
                  <c:v>0.327442298847724</c:v>
                </c:pt>
                <c:pt idx="321">
                  <c:v>0.326296185129331</c:v>
                </c:pt>
                <c:pt idx="322">
                  <c:v>0.32516970294353</c:v>
                </c:pt>
                <c:pt idx="323">
                  <c:v>0.324062370534165</c:v>
                </c:pt>
                <c:pt idx="324">
                  <c:v>0.322973722086944</c:v>
                </c:pt>
                <c:pt idx="325">
                  <c:v>0.321903307070314</c:v>
                </c:pt>
                <c:pt idx="326">
                  <c:v>0.320850689609641</c:v>
                </c:pt>
                <c:pt idx="327">
                  <c:v>0.319815447890938</c:v>
                </c:pt>
                <c:pt idx="328">
                  <c:v>0.318797173594118</c:v>
                </c:pt>
                <c:pt idx="329">
                  <c:v>0.317795471353514</c:v>
                </c:pt>
                <c:pt idx="330">
                  <c:v>0.316809958243845</c:v>
                </c:pt>
                <c:pt idx="331">
                  <c:v>0.315840263291127</c:v>
                </c:pt>
                <c:pt idx="332">
                  <c:v>0.314886027005801</c:v>
                </c:pt>
                <c:pt idx="333">
                  <c:v>0.313946900938014</c:v>
                </c:pt>
                <c:pt idx="334">
                  <c:v>0.313022547253745</c:v>
                </c:pt>
                <c:pt idx="335">
                  <c:v>0.312112638329513</c:v>
                </c:pt>
                <c:pt idx="336">
                  <c:v>0.31121685636692</c:v>
                </c:pt>
                <c:pt idx="337">
                  <c:v>0.310334893023167</c:v>
                </c:pt>
                <c:pt idx="338">
                  <c:v>0.309466449059003</c:v>
                </c:pt>
                <c:pt idx="339">
                  <c:v>0.308611234002226</c:v>
                </c:pt>
                <c:pt idx="340">
                  <c:v>0.307768965825578</c:v>
                </c:pt>
                <c:pt idx="341">
                  <c:v>0.306939370640008</c:v>
                </c:pt>
                <c:pt idx="342">
                  <c:v>0.306122182399365</c:v>
                </c:pt>
                <c:pt idx="343">
                  <c:v>0.305317142619802</c:v>
                </c:pt>
                <c:pt idx="344">
                  <c:v>0.304524000109872</c:v>
                </c:pt>
                <c:pt idx="345">
                  <c:v>0.303742510712631</c:v>
                </c:pt>
                <c:pt idx="346">
                  <c:v>0.302972437059038</c:v>
                </c:pt>
                <c:pt idx="347">
                  <c:v>0.302213548330723</c:v>
                </c:pt>
                <c:pt idx="348">
                  <c:v>0.301465620033642</c:v>
                </c:pt>
                <c:pt idx="349">
                  <c:v>0.300728433780569</c:v>
                </c:pt>
                <c:pt idx="350">
                  <c:v>0.300001777082504</c:v>
                </c:pt>
                <c:pt idx="351">
                  <c:v>0.299285443149035</c:v>
                </c:pt>
                <c:pt idx="352">
                  <c:v>0.298579230696349</c:v>
                </c:pt>
                <c:pt idx="353">
                  <c:v>0.297882943763115</c:v>
                </c:pt>
                <c:pt idx="354">
                  <c:v>0.297196391533988</c:v>
                </c:pt>
                <c:pt idx="355">
                  <c:v>0.296519388169455</c:v>
                </c:pt>
                <c:pt idx="356">
                  <c:v>0.295851752643475</c:v>
                </c:pt>
                <c:pt idx="357">
                  <c:v>0.295193308586397</c:v>
                </c:pt>
                <c:pt idx="358">
                  <c:v>0.294543884134668</c:v>
                </c:pt>
                <c:pt idx="359">
                  <c:v>3.30311144457994</c:v>
                </c:pt>
                <c:pt idx="360">
                  <c:v>0.352988990289313</c:v>
                </c:pt>
                <c:pt idx="361">
                  <c:v>0.351369154766988</c:v>
                </c:pt>
                <c:pt idx="362">
                  <c:v>0.349782881141543</c:v>
                </c:pt>
                <c:pt idx="363">
                  <c:v>0.348229161932864</c:v>
                </c:pt>
                <c:pt idx="364">
                  <c:v>0.346707030002109</c:v>
                </c:pt>
                <c:pt idx="365">
                  <c:v>0.345215556546923</c:v>
                </c:pt>
                <c:pt idx="366">
                  <c:v>0.34375384921458</c:v>
                </c:pt>
                <c:pt idx="367">
                  <c:v>0.342321050326217</c:v>
                </c:pt>
                <c:pt idx="368">
                  <c:v>0.340916335202896</c:v>
                </c:pt>
                <c:pt idx="369">
                  <c:v>0.339538910589295</c:v>
                </c:pt>
                <c:pt idx="370">
                  <c:v>0.338188013165267</c:v>
                </c:pt>
                <c:pt idx="371">
                  <c:v>0.336862908143087</c:v>
                </c:pt>
                <c:pt idx="372">
                  <c:v>0.335562887941361</c:v>
                </c:pt>
                <c:pt idx="373">
                  <c:v>0.334287270933038</c:v>
                </c:pt>
                <c:pt idx="374">
                  <c:v>0.333035400262084</c:v>
                </c:pt>
                <c:pt idx="375">
                  <c:v>0.331806642723806</c:v>
                </c:pt>
                <c:pt idx="376">
                  <c:v>0.330600387706348</c:v>
                </c:pt>
                <c:pt idx="377">
                  <c:v>0.329416046187425</c:v>
                </c:pt>
                <c:pt idx="378">
                  <c:v>0.328253049785114</c:v>
                </c:pt>
                <c:pt idx="379">
                  <c:v>0.327110849857776</c:v>
                </c:pt>
                <c:pt idx="380">
                  <c:v>0.325988916650878</c:v>
                </c:pt>
                <c:pt idx="381">
                  <c:v>0.324886738487868</c:v>
                </c:pt>
                <c:pt idx="382">
                  <c:v>0.323803821002155</c:v>
                </c:pt>
                <c:pt idx="383">
                  <c:v>0.322739686408023</c:v>
                </c:pt>
                <c:pt idx="384">
                  <c:v>0.321693872808129</c:v>
                </c:pt>
                <c:pt idx="385">
                  <c:v>0.320665933535454</c:v>
                </c:pt>
                <c:pt idx="386">
                  <c:v>0.319655436527955</c:v>
                </c:pt>
                <c:pt idx="387">
                  <c:v>0.318661963733296</c:v>
                </c:pt>
                <c:pt idx="388">
                  <c:v>0.317685110543175</c:v>
                </c:pt>
                <c:pt idx="389">
                  <c:v>0.316724485254358</c:v>
                </c:pt>
                <c:pt idx="390">
                  <c:v>0.315779708555295</c:v>
                </c:pt>
                <c:pt idx="391">
                  <c:v>0.314850413038382</c:v>
                </c:pt>
                <c:pt idx="392">
                  <c:v>0.313936242733146</c:v>
                </c:pt>
                <c:pt idx="393">
                  <c:v>0.313036852662979</c:v>
                </c:pt>
                <c:pt idx="394">
                  <c:v>0.312151908421316</c:v>
                </c:pt>
                <c:pt idx="395">
                  <c:v>0.311281085767603</c:v>
                </c:pt>
                <c:pt idx="396">
                  <c:v>0.310424070242308</c:v>
                </c:pt>
                <c:pt idx="397">
                  <c:v>0.309580556797993</c:v>
                </c:pt>
                <c:pt idx="398">
                  <c:v>0.308750249448404</c:v>
                </c:pt>
                <c:pt idx="399">
                  <c:v>0.307932860932012</c:v>
                </c:pt>
                <c:pt idx="400">
                  <c:v>0.307128112391392</c:v>
                </c:pt>
                <c:pt idx="401">
                  <c:v>0.306335733065903</c:v>
                </c:pt>
                <c:pt idx="402">
                  <c:v>0.305555459998509</c:v>
                </c:pt>
                <c:pt idx="403">
                  <c:v>0.304787037754563</c:v>
                </c:pt>
                <c:pt idx="404">
                  <c:v>0.304030218153129</c:v>
                </c:pt>
                <c:pt idx="405">
                  <c:v>0.303284760009731</c:v>
                </c:pt>
                <c:pt idx="406">
                  <c:v>0.302550428889676</c:v>
                </c:pt>
                <c:pt idx="407">
                  <c:v>0.301826996872531</c:v>
                </c:pt>
                <c:pt idx="408">
                  <c:v>0.301114242325179</c:v>
                </c:pt>
                <c:pt idx="409">
                  <c:v>0.30041194968555</c:v>
                </c:pt>
                <c:pt idx="410">
                  <c:v>0.29971990925463</c:v>
                </c:pt>
                <c:pt idx="411">
                  <c:v>0.29903791699668</c:v>
                </c:pt>
                <c:pt idx="412">
                  <c:v>0.298365774348626</c:v>
                </c:pt>
                <c:pt idx="413">
                  <c:v>0.297703288035996</c:v>
                </c:pt>
                <c:pt idx="414">
                  <c:v>0.297050269896772</c:v>
                </c:pt>
                <c:pt idx="415">
                  <c:v>0.2964065367124</c:v>
                </c:pt>
                <c:pt idx="416">
                  <c:v>0.295771910045018</c:v>
                </c:pt>
                <c:pt idx="417">
                  <c:v>0.295146216081633</c:v>
                </c:pt>
                <c:pt idx="418">
                  <c:v>0.294529285483867</c:v>
                </c:pt>
                <c:pt idx="419">
                  <c:v>3.30312908603773</c:v>
                </c:pt>
                <c:pt idx="420">
                  <c:v>0.353038620574359</c:v>
                </c:pt>
                <c:pt idx="421">
                  <c:v>0.351450525031628</c:v>
                </c:pt>
                <c:pt idx="422">
                  <c:v>0.349895744942693</c:v>
                </c:pt>
                <c:pt idx="423">
                  <c:v>0.348373275202592</c:v>
                </c:pt>
                <c:pt idx="424">
                  <c:v>0.346882151019195</c:v>
                </c:pt>
                <c:pt idx="425">
                  <c:v>0.345421445908547</c:v>
                </c:pt>
                <c:pt idx="426">
                  <c:v>0.343990269808234</c:v>
                </c:pt>
                <c:pt idx="427">
                  <c:v>0.342587767302539</c:v>
                </c:pt>
                <c:pt idx="428">
                  <c:v>0.341213115948639</c:v>
                </c:pt>
                <c:pt idx="429">
                  <c:v>0.339865524700361</c:v>
                </c:pt>
                <c:pt idx="430">
                  <c:v>0.338544232421023</c:v>
                </c:pt>
                <c:pt idx="431">
                  <c:v>0.337248506479657</c:v>
                </c:pt>
                <c:pt idx="432">
                  <c:v>0.356765106336314</c:v>
                </c:pt>
                <c:pt idx="433">
                  <c:v>0.362366870401236</c:v>
                </c:pt>
                <c:pt idx="434">
                  <c:v>0.361163185062167</c:v>
                </c:pt>
                <c:pt idx="435">
                  <c:v>0.359982394466471</c:v>
                </c:pt>
                <c:pt idx="436">
                  <c:v>0.358823890035296</c:v>
                </c:pt>
                <c:pt idx="437">
                  <c:v>0.357687084756053</c:v>
                </c:pt>
                <c:pt idx="438">
                  <c:v>0.356571412232864</c:v>
                </c:pt>
                <c:pt idx="439">
                  <c:v>0.355476325787063</c:v>
                </c:pt>
                <c:pt idx="440">
                  <c:v>0.354401297604414</c:v>
                </c:pt>
                <c:pt idx="441">
                  <c:v>0.353345817926079</c:v>
                </c:pt>
                <c:pt idx="442">
                  <c:v>0.352309394281241</c:v>
                </c:pt>
                <c:pt idx="443">
                  <c:v>0.351291550757959</c:v>
                </c:pt>
                <c:pt idx="444">
                  <c:v>0.350291827311272</c:v>
                </c:pt>
                <c:pt idx="445">
                  <c:v>0.349309779105292</c:v>
                </c:pt>
                <c:pt idx="446">
                  <c:v>0.348344975888236</c:v>
                </c:pt>
                <c:pt idx="447">
                  <c:v>0.34739700139719</c:v>
                </c:pt>
                <c:pt idx="448">
                  <c:v>0.346465452793174</c:v>
                </c:pt>
                <c:pt idx="449">
                  <c:v>0.34554994012199</c:v>
                </c:pt>
                <c:pt idx="450">
                  <c:v>0.344650085801826</c:v>
                </c:pt>
                <c:pt idx="451">
                  <c:v>0.343765524134539</c:v>
                </c:pt>
                <c:pt idx="452">
                  <c:v>0.342895900840339</c:v>
                </c:pt>
                <c:pt idx="453">
                  <c:v>0.342040872614135</c:v>
                </c:pt>
                <c:pt idx="454">
                  <c:v>0.341200106702416</c:v>
                </c:pt>
                <c:pt idx="455">
                  <c:v>0.340373280498974</c:v>
                </c:pt>
                <c:pt idx="456">
                  <c:v>0.339560081160345</c:v>
                </c:pt>
                <c:pt idx="457">
                  <c:v>0.338760205237237</c:v>
                </c:pt>
                <c:pt idx="458">
                  <c:v>0.337973358323784</c:v>
                </c:pt>
                <c:pt idx="459">
                  <c:v>0.337199254721583</c:v>
                </c:pt>
                <c:pt idx="460">
                  <c:v>0.336437617118598</c:v>
                </c:pt>
                <c:pt idx="461">
                  <c:v>0.335688176283095</c:v>
                </c:pt>
                <c:pt idx="462">
                  <c:v>0.334950670769451</c:v>
                </c:pt>
                <c:pt idx="463">
                  <c:v>0.334224846638544</c:v>
                </c:pt>
                <c:pt idx="464">
                  <c:v>0.33351045718814</c:v>
                </c:pt>
                <c:pt idx="465">
                  <c:v>0.332807262696434</c:v>
                </c:pt>
                <c:pt idx="466">
                  <c:v>0.332115030175655</c:v>
                </c:pt>
                <c:pt idx="467">
                  <c:v>0.331433533136145</c:v>
                </c:pt>
                <c:pt idx="468">
                  <c:v>0.330762551360418</c:v>
                </c:pt>
                <c:pt idx="469">
                  <c:v>0.330101870686625</c:v>
                </c:pt>
                <c:pt idx="470">
                  <c:v>0.329451282800645</c:v>
                </c:pt>
                <c:pt idx="471">
                  <c:v>0.328810585037145</c:v>
                </c:pt>
                <c:pt idx="472">
                  <c:v>0.328179580188259</c:v>
                </c:pt>
                <c:pt idx="473">
                  <c:v>0.327558076320467</c:v>
                </c:pt>
                <c:pt idx="474">
                  <c:v>0.326945886598187</c:v>
                </c:pt>
                <c:pt idx="475">
                  <c:v>0.326342829115441</c:v>
                </c:pt>
                <c:pt idx="476">
                  <c:v>0.325748726732695</c:v>
                </c:pt>
                <c:pt idx="477">
                  <c:v>0.325163406921377</c:v>
                </c:pt>
                <c:pt idx="478">
                  <c:v>0.324586701614413</c:v>
                </c:pt>
                <c:pt idx="479">
                  <c:v>3.33322657985493</c:v>
                </c:pt>
                <c:pt idx="480">
                  <c:v>0.383176045718728</c:v>
                </c:pt>
                <c:pt idx="481">
                  <c:v>0.381627736374717</c:v>
                </c:pt>
                <c:pt idx="482">
                  <c:v>0.380112598574031</c:v>
                </c:pt>
                <c:pt idx="483">
                  <c:v>0.378629628417466</c:v>
                </c:pt>
                <c:pt idx="484">
                  <c:v>0.377177862305537</c:v>
                </c:pt>
                <c:pt idx="485">
                  <c:v>0.375756374934713</c:v>
                </c:pt>
                <c:pt idx="486">
                  <c:v>0.374364277410805</c:v>
                </c:pt>
                <c:pt idx="487">
                  <c:v>0.3730007154737</c:v>
                </c:pt>
                <c:pt idx="488">
                  <c:v>0.371664867824796</c:v>
                </c:pt>
                <c:pt idx="489">
                  <c:v>0.370355944549955</c:v>
                </c:pt>
                <c:pt idx="490">
                  <c:v>0.369073185632914</c:v>
                </c:pt>
                <c:pt idx="491">
                  <c:v>0.367815859551759</c:v>
                </c:pt>
                <c:pt idx="492">
                  <c:v>0.366583261954179</c:v>
                </c:pt>
                <c:pt idx="493">
                  <c:v>0.365374714406173</c:v>
                </c:pt>
                <c:pt idx="494">
                  <c:v>0.364189563208282</c:v>
                </c:pt>
                <c:pt idx="495">
                  <c:v>0.363027178277509</c:v>
                </c:pt>
                <c:pt idx="496">
                  <c:v>0.361886952088323</c:v>
                </c:pt>
                <c:pt idx="497">
                  <c:v>0.360768298670291</c:v>
                </c:pt>
                <c:pt idx="498">
                  <c:v>0.359670652659842</c:v>
                </c:pt>
                <c:pt idx="499">
                  <c:v>0.358593468399604</c:v>
                </c:pt>
                <c:pt idx="500">
                  <c:v>0.35753621908653</c:v>
                </c:pt>
                <c:pt idx="501">
                  <c:v>0.356498395962931</c:v>
                </c:pt>
                <c:pt idx="502">
                  <c:v>0.355479507548482</c:v>
                </c:pt>
                <c:pt idx="503">
                  <c:v>0.354479078912483</c:v>
                </c:pt>
                <c:pt idx="504">
                  <c:v>0.353496650981006</c:v>
                </c:pt>
                <c:pt idx="505">
                  <c:v>0.352531779879521</c:v>
                </c:pt>
                <c:pt idx="506">
                  <c:v>0.351584036308016</c:v>
                </c:pt>
                <c:pt idx="507">
                  <c:v>0.350653004946052</c:v>
                </c:pt>
                <c:pt idx="508">
                  <c:v>0.349738283887392</c:v>
                </c:pt>
                <c:pt idx="509">
                  <c:v>0.348839484101719</c:v>
                </c:pt>
                <c:pt idx="510">
                  <c:v>0.347956228921663</c:v>
                </c:pt>
                <c:pt idx="511">
                  <c:v>0.347088153554666</c:v>
                </c:pt>
                <c:pt idx="512">
                  <c:v>0.346234904617476</c:v>
                </c:pt>
                <c:pt idx="513">
                  <c:v>0.345396139692968</c:v>
                </c:pt>
                <c:pt idx="514">
                  <c:v>0.344571526906385</c:v>
                </c:pt>
                <c:pt idx="515">
                  <c:v>0.343760744522259</c:v>
                </c:pt>
                <c:pt idx="516">
                  <c:v>0.342963480558981</c:v>
                </c:pt>
                <c:pt idx="517">
                  <c:v>0.342179432420806</c:v>
                </c:pt>
                <c:pt idx="518">
                  <c:v>0.341408306547092</c:v>
                </c:pt>
                <c:pt idx="519">
                  <c:v>0.340649818076381</c:v>
                </c:pt>
                <c:pt idx="520">
                  <c:v>0.33990369052572</c:v>
                </c:pt>
                <c:pt idx="521">
                  <c:v>0.339169655484043</c:v>
                </c:pt>
                <c:pt idx="522">
                  <c:v>0.338447452318982</c:v>
                </c:pt>
                <c:pt idx="523">
                  <c:v>0.337736827896134</c:v>
                </c:pt>
                <c:pt idx="524">
                  <c:v>0.337037536310932</c:v>
                </c:pt>
                <c:pt idx="525">
                  <c:v>0.336349338631249</c:v>
                </c:pt>
                <c:pt idx="526">
                  <c:v>0.33567200265143</c:v>
                </c:pt>
                <c:pt idx="527">
                  <c:v>0.335005302656534</c:v>
                </c:pt>
                <c:pt idx="528">
                  <c:v>0.334349019196276</c:v>
                </c:pt>
                <c:pt idx="529">
                  <c:v>0.333702938868907</c:v>
                </c:pt>
                <c:pt idx="530">
                  <c:v>0.333066854112982</c:v>
                </c:pt>
                <c:pt idx="531">
                  <c:v>0.332440563008782</c:v>
                </c:pt>
                <c:pt idx="532">
                  <c:v>0.331823869087085</c:v>
                </c:pt>
                <c:pt idx="533">
                  <c:v>0.331216581145874</c:v>
                </c:pt>
                <c:pt idx="534">
                  <c:v>0.330618513074382</c:v>
                </c:pt>
                <c:pt idx="535">
                  <c:v>0.330029483684261</c:v>
                </c:pt>
                <c:pt idx="536">
                  <c:v>0.329449316547219</c:v>
                </c:pt>
                <c:pt idx="537">
                  <c:v>0.328877839839361</c:v>
                </c:pt>
                <c:pt idx="538">
                  <c:v>0.328314886191033</c:v>
                </c:pt>
                <c:pt idx="539">
                  <c:v>3.33696842533714</c:v>
                </c:pt>
                <c:pt idx="540">
                  <c:v>0.386931462038009</c:v>
                </c:pt>
                <c:pt idx="541">
                  <c:v>0.385396634141401</c:v>
                </c:pt>
                <c:pt idx="542">
                  <c:v>0.383894889070665</c:v>
                </c:pt>
                <c:pt idx="543">
                  <c:v>0.382425223592311</c:v>
                </c:pt>
                <c:pt idx="544">
                  <c:v>0.380986674766966</c:v>
                </c:pt>
                <c:pt idx="545">
                  <c:v>0.379578317944708</c:v>
                </c:pt>
                <c:pt idx="546">
                  <c:v>0.37819926487927</c:v>
                </c:pt>
                <c:pt idx="547">
                  <c:v>0.37684866195227</c:v>
                </c:pt>
                <c:pt idx="548">
                  <c:v>0.375525688500768</c:v>
                </c:pt>
                <c:pt idx="549">
                  <c:v>0.374229555240948</c:v>
                </c:pt>
                <c:pt idx="550">
                  <c:v>0.372959502780722</c:v>
                </c:pt>
                <c:pt idx="551">
                  <c:v>0.371714800216795</c:v>
                </c:pt>
                <c:pt idx="552">
                  <c:v>0.37049474381002</c:v>
                </c:pt>
                <c:pt idx="553">
                  <c:v>0.36929865573337</c:v>
                </c:pt>
                <c:pt idx="554">
                  <c:v>0.368125882889674</c:v>
                </c:pt>
                <c:pt idx="555">
                  <c:v>0.366975795792221</c:v>
                </c:pt>
                <c:pt idx="556">
                  <c:v>0.365847787506428</c:v>
                </c:pt>
                <c:pt idx="557">
                  <c:v>0.364741272647914</c:v>
                </c:pt>
                <c:pt idx="558">
                  <c:v>0.363655686433073</c:v>
                </c:pt>
                <c:pt idx="559">
                  <c:v>0.362590483780064</c:v>
                </c:pt>
                <c:pt idx="560">
                  <c:v>0.36154513845582</c:v>
                </c:pt>
                <c:pt idx="561">
                  <c:v>0.360519142267515</c:v>
                </c:pt>
                <c:pt idx="562">
                  <c:v>0.359512004294993</c:v>
                </c:pt>
                <c:pt idx="563">
                  <c:v>0.358523250162062</c:v>
                </c:pt>
                <c:pt idx="564">
                  <c:v>0.357552421345048</c:v>
                </c:pt>
                <c:pt idx="565">
                  <c:v>0.356599074514468</c:v>
                </c:pt>
                <c:pt idx="566">
                  <c:v>0.355662780910361</c:v>
                </c:pt>
                <c:pt idx="567">
                  <c:v>0.354743125747941</c:v>
                </c:pt>
                <c:pt idx="568">
                  <c:v>0.35383970765166</c:v>
                </c:pt>
                <c:pt idx="569">
                  <c:v>0.292153610634273</c:v>
                </c:pt>
                <c:pt idx="570">
                  <c:v>0.267511957979682</c:v>
                </c:pt>
                <c:pt idx="571">
                  <c:v>0.266587363649761</c:v>
                </c:pt>
                <c:pt idx="572">
                  <c:v>0.26567753571153</c:v>
                </c:pt>
                <c:pt idx="573">
                  <c:v>0.26478213225235</c:v>
                </c:pt>
                <c:pt idx="574">
                  <c:v>0.263900821897504</c:v>
                </c:pt>
                <c:pt idx="575">
                  <c:v>0.263033283407192</c:v>
                </c:pt>
                <c:pt idx="576">
                  <c:v>0.262179205291275</c:v>
                </c:pt>
                <c:pt idx="577">
                  <c:v>0.261338285441056</c:v>
                </c:pt>
                <c:pt idx="578">
                  <c:v>0.260510230778682</c:v>
                </c:pt>
                <c:pt idx="579">
                  <c:v>0.259694756921055</c:v>
                </c:pt>
                <c:pt idx="580">
                  <c:v>0.258891587859896</c:v>
                </c:pt>
                <c:pt idx="581">
                  <c:v>0.258100455654261</c:v>
                </c:pt>
                <c:pt idx="582">
                  <c:v>0.257321100138086</c:v>
                </c:pt>
                <c:pt idx="583">
                  <c:v>0.256553268639245</c:v>
                </c:pt>
                <c:pt idx="584">
                  <c:v>0.255796715710991</c:v>
                </c:pt>
                <c:pt idx="585">
                  <c:v>0.255051202875673</c:v>
                </c:pt>
                <c:pt idx="586">
                  <c:v>0.254316498377892</c:v>
                </c:pt>
                <c:pt idx="587">
                  <c:v>0.253592376949021</c:v>
                </c:pt>
                <c:pt idx="588">
                  <c:v>0.25287861958163</c:v>
                </c:pt>
                <c:pt idx="589">
                  <c:v>0.252175013312293</c:v>
                </c:pt>
                <c:pt idx="590">
                  <c:v>0.251481351015016</c:v>
                </c:pt>
                <c:pt idx="591">
                  <c:v>0.250797431201265</c:v>
                </c:pt>
                <c:pt idx="592">
                  <c:v>0.250123057829296</c:v>
                </c:pt>
                <c:pt idx="593">
                  <c:v>0.249458040121353</c:v>
                </c:pt>
                <c:pt idx="594">
                  <c:v>0.248802192386796</c:v>
                </c:pt>
                <c:pt idx="595">
                  <c:v>0.248155333854209</c:v>
                </c:pt>
                <c:pt idx="596">
                  <c:v>0.247517288508582</c:v>
                </c:pt>
                <c:pt idx="597">
                  <c:v>0.246887884935737</c:v>
                </c:pt>
                <c:pt idx="598">
                  <c:v>0.246266956172427</c:v>
                </c:pt>
                <c:pt idx="599">
                  <c:v>3.25486247235638</c:v>
                </c:pt>
              </c:numCache>
            </c:numRef>
          </c:yVal>
          <c:smooth val="0"/>
        </c:ser>
        <c:dLbls>
          <c:showLegendKey val="0"/>
          <c:showVal val="0"/>
          <c:showCatName val="0"/>
          <c:showSerName val="0"/>
          <c:showPercent val="0"/>
          <c:showBubbleSize val="0"/>
        </c:dLbls>
        <c:axId val="171356485"/>
        <c:axId val="661212022"/>
      </c:scatterChart>
      <c:valAx>
        <c:axId val="171356485"/>
        <c:scaling>
          <c:orientation val="minMax"/>
        </c:scaling>
        <c:delete val="0"/>
        <c:axPos val="b"/>
        <c:majorGridlines>
          <c:spPr>
            <a:ln w="9525" cap="flat" cmpd="sng" algn="ctr">
              <a:solidFill>
                <a:schemeClr val="lt1">
                  <a:lumMod val="902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61212022"/>
        <c:crosses val="autoZero"/>
        <c:crossBetween val="midCat"/>
      </c:valAx>
      <c:valAx>
        <c:axId val="661212022"/>
        <c:scaling>
          <c:orientation val="minMax"/>
        </c:scaling>
        <c:delete val="0"/>
        <c:axPos val="l"/>
        <c:majorGridlines>
          <c:spPr>
            <a:ln w="9525" cap="flat" cmpd="sng" algn="ctr">
              <a:solidFill>
                <a:schemeClr val="lt1">
                  <a:lumMod val="90200"/>
                </a:schemeClr>
              </a:solidFill>
              <a:round/>
            </a:ln>
            <a:effectLst/>
          </c:spPr>
        </c:majorGridlines>
        <c:numFmt formatCode="0.00_ "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71356485"/>
        <c:crosses val="autoZero"/>
        <c:crossBetween val="midCat"/>
      </c:valAx>
      <c:spPr>
        <a:noFill/>
        <a:ln w="9525" cap="flat" cmpd="sng" algn="ctr">
          <a:solidFill>
            <a:schemeClr val="tx1">
              <a:lumMod val="15000"/>
              <a:lumOff val="85000"/>
            </a:schemeClr>
          </a:solidFill>
          <a:round/>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ddf4df84-5f32-4815-915a-484cfb0c6bf2}"/>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9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solidFill>
          <a:schemeClr val="phClr"/>
        </a:solid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4" Type="http://schemas.openxmlformats.org/officeDocument/2006/relationships/image" Target="../media/image3.png"/><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2</xdr:col>
      <xdr:colOff>47625</xdr:colOff>
      <xdr:row>3</xdr:row>
      <xdr:rowOff>0</xdr:rowOff>
    </xdr:from>
    <xdr:ext cx="13630275" cy="5105400"/>
    <xdr:pic>
      <xdr:nvPicPr>
        <xdr:cNvPr id="2" name="图片 1"/>
        <xdr:cNvPicPr/>
      </xdr:nvPicPr>
      <xdr:blipFill>
        <a:blip r:embed="rId1"/>
        <a:stretch>
          <a:fillRect/>
        </a:stretch>
      </xdr:blipFill>
      <xdr:spPr>
        <a:xfrm>
          <a:off x="933450" y="485775"/>
          <a:ext cx="13630275" cy="510540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9</xdr:col>
      <xdr:colOff>47625</xdr:colOff>
      <xdr:row>90</xdr:row>
      <xdr:rowOff>180975</xdr:rowOff>
    </xdr:from>
    <xdr:ext cx="7296150" cy="4229100"/>
    <xdr:pic>
      <xdr:nvPicPr>
        <xdr:cNvPr id="2" name="图片 1"/>
        <xdr:cNvPicPr/>
      </xdr:nvPicPr>
      <xdr:blipFill>
        <a:blip r:embed="rId1"/>
        <a:stretch>
          <a:fillRect/>
        </a:stretch>
      </xdr:blipFill>
      <xdr:spPr>
        <a:xfrm>
          <a:off x="7210425" y="19074765"/>
          <a:ext cx="7296150" cy="4229100"/>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180975</xdr:colOff>
      <xdr:row>31</xdr:row>
      <xdr:rowOff>123825</xdr:rowOff>
    </xdr:from>
    <xdr:to>
      <xdr:col>21</xdr:col>
      <xdr:colOff>398145</xdr:colOff>
      <xdr:row>59</xdr:row>
      <xdr:rowOff>47625</xdr:rowOff>
    </xdr:to>
    <xdr:pic>
      <xdr:nvPicPr>
        <xdr:cNvPr id="2" name="图片 1"/>
        <xdr:cNvPicPr>
          <a:picLocks noChangeAspect="1"/>
        </xdr:cNvPicPr>
      </xdr:nvPicPr>
      <xdr:blipFill>
        <a:blip r:embed="rId4"/>
        <a:stretch>
          <a:fillRect/>
        </a:stretch>
      </xdr:blipFill>
      <xdr:spPr>
        <a:xfrm>
          <a:off x="1104900" y="8924925"/>
          <a:ext cx="15718790" cy="5791200"/>
        </a:xfrm>
        <a:prstGeom prst="rect">
          <a:avLst/>
        </a:prstGeom>
        <a:noFill/>
        <a:ln w="9525">
          <a:noFill/>
        </a:ln>
      </xdr:spPr>
    </xdr:pic>
    <xdr:clientData/>
  </xdr:twoCellAnchor>
  <xdr:twoCellAnchor>
    <xdr:from>
      <xdr:col>15</xdr:col>
      <xdr:colOff>574675</xdr:colOff>
      <xdr:row>104</xdr:row>
      <xdr:rowOff>151130</xdr:rowOff>
    </xdr:from>
    <xdr:to>
      <xdr:col>22</xdr:col>
      <xdr:colOff>752475</xdr:colOff>
      <xdr:row>117</xdr:row>
      <xdr:rowOff>170180</xdr:rowOff>
    </xdr:to>
    <xdr:graphicFrame>
      <xdr:nvGraphicFramePr>
        <xdr:cNvPr id="11" name="图表 10"/>
        <xdr:cNvGraphicFramePr/>
      </xdr:nvGraphicFramePr>
      <xdr:xfrm>
        <a:off x="12094845" y="24249380"/>
        <a:ext cx="5788025"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313055</xdr:colOff>
      <xdr:row>154</xdr:row>
      <xdr:rowOff>180340</xdr:rowOff>
    </xdr:from>
    <xdr:to>
      <xdr:col>34</xdr:col>
      <xdr:colOff>240665</xdr:colOff>
      <xdr:row>167</xdr:row>
      <xdr:rowOff>199390</xdr:rowOff>
    </xdr:to>
    <xdr:graphicFrame>
      <xdr:nvGraphicFramePr>
        <xdr:cNvPr id="13" name="图表 12"/>
        <xdr:cNvGraphicFramePr/>
      </xdr:nvGraphicFramePr>
      <xdr:xfrm>
        <a:off x="22539325" y="34756090"/>
        <a:ext cx="4042410" cy="2743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211455</xdr:colOff>
      <xdr:row>72</xdr:row>
      <xdr:rowOff>87630</xdr:rowOff>
    </xdr:from>
    <xdr:to>
      <xdr:col>32</xdr:col>
      <xdr:colOff>98425</xdr:colOff>
      <xdr:row>85</xdr:row>
      <xdr:rowOff>150495</xdr:rowOff>
    </xdr:to>
    <xdr:graphicFrame>
      <xdr:nvGraphicFramePr>
        <xdr:cNvPr id="3" name="图表 2"/>
        <xdr:cNvGraphicFramePr/>
      </xdr:nvGraphicFramePr>
      <xdr:xfrm>
        <a:off x="20094575" y="17480280"/>
        <a:ext cx="4973320" cy="278701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7</xdr:col>
      <xdr:colOff>444500</xdr:colOff>
      <xdr:row>84</xdr:row>
      <xdr:rowOff>97155</xdr:rowOff>
    </xdr:from>
    <xdr:to>
      <xdr:col>14</xdr:col>
      <xdr:colOff>212725</xdr:colOff>
      <xdr:row>97</xdr:row>
      <xdr:rowOff>116205</xdr:rowOff>
    </xdr:to>
    <xdr:graphicFrame>
      <xdr:nvGraphicFramePr>
        <xdr:cNvPr id="2" name="图表 1"/>
        <xdr:cNvGraphicFramePr/>
      </xdr:nvGraphicFramePr>
      <xdr:xfrm>
        <a:off x="6988175" y="17280255"/>
        <a:ext cx="5692775"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276225</xdr:colOff>
      <xdr:row>17</xdr:row>
      <xdr:rowOff>0</xdr:rowOff>
    </xdr:from>
    <xdr:to>
      <xdr:col>20</xdr:col>
      <xdr:colOff>523875</xdr:colOff>
      <xdr:row>44</xdr:row>
      <xdr:rowOff>133350</xdr:rowOff>
    </xdr:to>
    <xdr:pic>
      <xdr:nvPicPr>
        <xdr:cNvPr id="2" name="图片 1"/>
        <xdr:cNvPicPr>
          <a:picLocks noChangeAspect="1"/>
        </xdr:cNvPicPr>
      </xdr:nvPicPr>
      <xdr:blipFill>
        <a:blip r:embed="rId1"/>
        <a:stretch>
          <a:fillRect/>
        </a:stretch>
      </xdr:blipFill>
      <xdr:spPr>
        <a:xfrm>
          <a:off x="962025" y="3562350"/>
          <a:ext cx="15716250" cy="579120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file:///C:\S3\&#25968;&#20540;&#25991;&#26723;\&#12298;&#26790;&#22659;&#25252;&#21355;&#38431;&#12299;2-1&#26790;&#28789;&#20859;&#25104;.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file:///C:\S3\&#25968;&#20540;&#25991;&#26723;\&#12298;&#26790;&#22659;&#25252;&#21355;&#38431;&#12299;2-2&#22522;&#22240;&#20859;&#25104;.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file:///C:\S3\&#25968;&#20540;&#25991;&#26723;\&#12298;&#26790;&#22659;&#25252;&#21355;&#38431;&#12299;2-4&#35013;&#22791;&#20859;&#25104;.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说明"/>
      <sheetName val="养成规划"/>
      <sheetName val="梦灵属性"/>
      <sheetName val="梦灵本体产出"/>
      <sheetName val="梦灵经验产出"/>
      <sheetName val="梦灵图鉴"/>
      <sheetName val="属性汇总"/>
      <sheetName val="抽奖定制"/>
      <sheetName val="队伍预设"/>
      <sheetName val="星妙之路"/>
      <sheetName val="价值表"/>
      <sheetName val="Sheet1"/>
      <sheetName val="Sheet3"/>
    </sheetNames>
    <sheetDataSet>
      <sheetData sheetId="0"/>
      <sheetData sheetId="1"/>
      <sheetData sheetId="2">
        <row r="26">
          <cell r="K26">
            <v>3</v>
          </cell>
        </row>
        <row r="56">
          <cell r="K56">
            <v>10</v>
          </cell>
        </row>
        <row r="57">
          <cell r="K57">
            <v>20</v>
          </cell>
        </row>
        <row r="58">
          <cell r="K58">
            <v>30</v>
          </cell>
        </row>
        <row r="59">
          <cell r="K59">
            <v>40</v>
          </cell>
        </row>
        <row r="60">
          <cell r="K60">
            <v>70</v>
          </cell>
        </row>
        <row r="61">
          <cell r="K61">
            <v>100</v>
          </cell>
        </row>
        <row r="62">
          <cell r="K62">
            <v>130</v>
          </cell>
        </row>
        <row r="63">
          <cell r="K63">
            <v>160</v>
          </cell>
        </row>
        <row r="64">
          <cell r="K64">
            <v>190</v>
          </cell>
        </row>
        <row r="65">
          <cell r="K65">
            <v>250</v>
          </cell>
        </row>
        <row r="66">
          <cell r="K66">
            <v>310</v>
          </cell>
        </row>
        <row r="67">
          <cell r="K67">
            <v>370</v>
          </cell>
        </row>
        <row r="68">
          <cell r="K68">
            <v>430</v>
          </cell>
        </row>
        <row r="69">
          <cell r="K69">
            <v>490</v>
          </cell>
        </row>
        <row r="70">
          <cell r="K70">
            <v>580</v>
          </cell>
        </row>
        <row r="71">
          <cell r="K71">
            <v>670</v>
          </cell>
        </row>
        <row r="72">
          <cell r="K72">
            <v>760</v>
          </cell>
        </row>
        <row r="73">
          <cell r="K73">
            <v>850</v>
          </cell>
        </row>
        <row r="74">
          <cell r="K74">
            <v>940</v>
          </cell>
        </row>
        <row r="75">
          <cell r="K75">
            <v>1060</v>
          </cell>
        </row>
        <row r="76">
          <cell r="K76">
            <v>1180</v>
          </cell>
        </row>
        <row r="77">
          <cell r="K77">
            <v>1300</v>
          </cell>
        </row>
        <row r="78">
          <cell r="K78">
            <v>1420</v>
          </cell>
        </row>
        <row r="79">
          <cell r="K79">
            <v>1540</v>
          </cell>
        </row>
        <row r="80">
          <cell r="K80">
            <v>1780</v>
          </cell>
        </row>
        <row r="81">
          <cell r="K81">
            <v>2020</v>
          </cell>
        </row>
        <row r="82">
          <cell r="K82">
            <v>2260</v>
          </cell>
        </row>
        <row r="83">
          <cell r="K83">
            <v>2500</v>
          </cell>
        </row>
        <row r="84">
          <cell r="K84">
            <v>2740</v>
          </cell>
        </row>
        <row r="85">
          <cell r="K85">
            <v>3220</v>
          </cell>
        </row>
        <row r="86">
          <cell r="K86">
            <v>3700</v>
          </cell>
        </row>
        <row r="87">
          <cell r="K87">
            <v>4180</v>
          </cell>
        </row>
        <row r="88">
          <cell r="K88">
            <v>4660</v>
          </cell>
        </row>
        <row r="89">
          <cell r="K89">
            <v>5140</v>
          </cell>
        </row>
        <row r="90">
          <cell r="K90">
            <v>5860</v>
          </cell>
        </row>
        <row r="91">
          <cell r="K91">
            <v>6580</v>
          </cell>
        </row>
        <row r="92">
          <cell r="K92">
            <v>7300</v>
          </cell>
        </row>
        <row r="93">
          <cell r="K93">
            <v>8020</v>
          </cell>
        </row>
        <row r="94">
          <cell r="K94">
            <v>8740</v>
          </cell>
        </row>
        <row r="95">
          <cell r="K95">
            <v>9820</v>
          </cell>
        </row>
        <row r="96">
          <cell r="K96">
            <v>10900</v>
          </cell>
        </row>
        <row r="97">
          <cell r="K97">
            <v>11980</v>
          </cell>
        </row>
        <row r="98">
          <cell r="K98">
            <v>13060</v>
          </cell>
        </row>
        <row r="99">
          <cell r="K99">
            <v>14140</v>
          </cell>
        </row>
        <row r="100">
          <cell r="K100">
            <v>15580</v>
          </cell>
        </row>
        <row r="101">
          <cell r="K101">
            <v>17020</v>
          </cell>
        </row>
        <row r="102">
          <cell r="K102">
            <v>18460</v>
          </cell>
        </row>
        <row r="103">
          <cell r="K103">
            <v>19900</v>
          </cell>
        </row>
        <row r="104">
          <cell r="K104">
            <v>21340</v>
          </cell>
        </row>
      </sheetData>
      <sheetData sheetId="3">
        <row r="30">
          <cell r="D30">
            <v>24</v>
          </cell>
        </row>
        <row r="30">
          <cell r="L30">
            <v>125</v>
          </cell>
        </row>
        <row r="32">
          <cell r="D32" t="str">
            <v>抽卡等级</v>
          </cell>
        </row>
        <row r="32">
          <cell r="J32" t="str">
            <v>#当没有满图鉴基本概率低，满图鉴后产的多</v>
          </cell>
        </row>
        <row r="33">
          <cell r="D33" t="str">
            <v>招募等级</v>
          </cell>
        </row>
        <row r="33">
          <cell r="J33" t="str">
            <v>蓝卡</v>
          </cell>
          <cell r="K33" t="str">
            <v>紫卡</v>
          </cell>
          <cell r="L33" t="str">
            <v>橙卡</v>
          </cell>
          <cell r="M33" t="str">
            <v>红卡</v>
          </cell>
        </row>
        <row r="34">
          <cell r="D34">
            <v>1</v>
          </cell>
        </row>
        <row r="34">
          <cell r="J34">
            <v>0.4</v>
          </cell>
          <cell r="K34">
            <v>0.1</v>
          </cell>
        </row>
        <row r="35">
          <cell r="D35">
            <v>2</v>
          </cell>
        </row>
        <row r="35">
          <cell r="J35">
            <v>0.355</v>
          </cell>
          <cell r="K35">
            <v>0.12</v>
          </cell>
          <cell r="L35">
            <v>0.025</v>
          </cell>
        </row>
        <row r="36">
          <cell r="D36">
            <v>3</v>
          </cell>
        </row>
        <row r="36">
          <cell r="J36">
            <v>0.31</v>
          </cell>
          <cell r="K36">
            <v>0.14</v>
          </cell>
          <cell r="L36">
            <v>0.05</v>
          </cell>
        </row>
        <row r="37">
          <cell r="D37">
            <v>4</v>
          </cell>
        </row>
        <row r="37">
          <cell r="J37">
            <v>0.264226324699144</v>
          </cell>
          <cell r="K37">
            <v>0.16</v>
          </cell>
          <cell r="L37">
            <v>0.06</v>
          </cell>
          <cell r="M37">
            <v>0.0157736753008561</v>
          </cell>
        </row>
        <row r="38">
          <cell r="D38">
            <v>5</v>
          </cell>
        </row>
        <row r="38">
          <cell r="J38">
            <v>0.216942067191022</v>
          </cell>
          <cell r="K38">
            <v>0.18</v>
          </cell>
          <cell r="L38">
            <v>0.08</v>
          </cell>
          <cell r="M38">
            <v>0.0230579328089777</v>
          </cell>
        </row>
      </sheetData>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说明"/>
      <sheetName val="养成属性"/>
      <sheetName val="基因升级"/>
      <sheetName val="基因产出"/>
      <sheetName val="属性汇总"/>
      <sheetName val="蔚蓝参考"/>
      <sheetName val="Sheet1"/>
    </sheetNames>
    <sheetDataSet>
      <sheetData sheetId="0"/>
      <sheetData sheetId="1"/>
      <sheetData sheetId="2">
        <row r="141">
          <cell r="D141">
            <v>1</v>
          </cell>
          <cell r="E141">
            <v>1</v>
          </cell>
        </row>
        <row r="142">
          <cell r="D142">
            <v>2</v>
          </cell>
          <cell r="E142">
            <v>1</v>
          </cell>
        </row>
        <row r="143">
          <cell r="D143">
            <v>3</v>
          </cell>
          <cell r="E143">
            <v>1</v>
          </cell>
        </row>
        <row r="144">
          <cell r="D144">
            <v>4</v>
          </cell>
          <cell r="E144">
            <v>1</v>
          </cell>
        </row>
        <row r="145">
          <cell r="D145">
            <v>5</v>
          </cell>
          <cell r="E145">
            <v>1</v>
          </cell>
        </row>
        <row r="146">
          <cell r="D146">
            <v>6</v>
          </cell>
          <cell r="E146">
            <v>1</v>
          </cell>
        </row>
        <row r="147">
          <cell r="D147">
            <v>7</v>
          </cell>
          <cell r="E147">
            <v>1</v>
          </cell>
        </row>
        <row r="148">
          <cell r="D148">
            <v>8</v>
          </cell>
          <cell r="E148">
            <v>1</v>
          </cell>
        </row>
        <row r="149">
          <cell r="D149">
            <v>9</v>
          </cell>
          <cell r="E149">
            <v>1</v>
          </cell>
        </row>
        <row r="150">
          <cell r="D150">
            <v>10</v>
          </cell>
          <cell r="E150">
            <v>1</v>
          </cell>
        </row>
        <row r="151">
          <cell r="D151">
            <v>11</v>
          </cell>
          <cell r="E151">
            <v>1</v>
          </cell>
        </row>
        <row r="152">
          <cell r="D152">
            <v>12</v>
          </cell>
          <cell r="E152">
            <v>1</v>
          </cell>
        </row>
        <row r="153">
          <cell r="D153">
            <v>13</v>
          </cell>
          <cell r="E153">
            <v>1</v>
          </cell>
        </row>
        <row r="154">
          <cell r="D154">
            <v>14</v>
          </cell>
          <cell r="E154">
            <v>1</v>
          </cell>
        </row>
        <row r="155">
          <cell r="D155">
            <v>15</v>
          </cell>
          <cell r="E155">
            <v>1</v>
          </cell>
        </row>
        <row r="156">
          <cell r="D156">
            <v>16</v>
          </cell>
          <cell r="E156">
            <v>2</v>
          </cell>
        </row>
        <row r="157">
          <cell r="D157">
            <v>17</v>
          </cell>
          <cell r="E157">
            <v>2</v>
          </cell>
        </row>
        <row r="158">
          <cell r="D158">
            <v>18</v>
          </cell>
          <cell r="E158">
            <v>2</v>
          </cell>
        </row>
        <row r="159">
          <cell r="D159">
            <v>19</v>
          </cell>
          <cell r="E159">
            <v>2</v>
          </cell>
        </row>
        <row r="160">
          <cell r="D160">
            <v>20</v>
          </cell>
          <cell r="E160">
            <v>3</v>
          </cell>
        </row>
        <row r="161">
          <cell r="D161">
            <v>21</v>
          </cell>
          <cell r="E161">
            <v>3</v>
          </cell>
        </row>
        <row r="162">
          <cell r="D162">
            <v>22</v>
          </cell>
          <cell r="E162">
            <v>3</v>
          </cell>
        </row>
        <row r="163">
          <cell r="D163">
            <v>23</v>
          </cell>
          <cell r="E163">
            <v>4</v>
          </cell>
        </row>
        <row r="164">
          <cell r="D164">
            <v>24</v>
          </cell>
          <cell r="E164">
            <v>4</v>
          </cell>
        </row>
        <row r="165">
          <cell r="D165">
            <v>25</v>
          </cell>
          <cell r="E165">
            <v>4</v>
          </cell>
        </row>
        <row r="166">
          <cell r="D166">
            <v>26</v>
          </cell>
          <cell r="E166">
            <v>5</v>
          </cell>
        </row>
        <row r="167">
          <cell r="D167">
            <v>27</v>
          </cell>
          <cell r="E167">
            <v>5</v>
          </cell>
        </row>
        <row r="168">
          <cell r="D168">
            <v>28</v>
          </cell>
          <cell r="E168">
            <v>6</v>
          </cell>
        </row>
        <row r="169">
          <cell r="D169">
            <v>29</v>
          </cell>
          <cell r="E169">
            <v>6</v>
          </cell>
        </row>
        <row r="170">
          <cell r="D170">
            <v>30</v>
          </cell>
          <cell r="E170">
            <v>7</v>
          </cell>
        </row>
        <row r="171">
          <cell r="D171">
            <v>31</v>
          </cell>
          <cell r="E171">
            <v>8</v>
          </cell>
        </row>
        <row r="172">
          <cell r="D172">
            <v>32</v>
          </cell>
          <cell r="E172">
            <v>8</v>
          </cell>
        </row>
        <row r="173">
          <cell r="D173">
            <v>33</v>
          </cell>
          <cell r="E173">
            <v>9</v>
          </cell>
        </row>
        <row r="174">
          <cell r="D174">
            <v>34</v>
          </cell>
          <cell r="E174">
            <v>10</v>
          </cell>
        </row>
        <row r="175">
          <cell r="D175">
            <v>35</v>
          </cell>
          <cell r="E175">
            <v>11</v>
          </cell>
        </row>
        <row r="176">
          <cell r="D176">
            <v>36</v>
          </cell>
          <cell r="E176">
            <v>11</v>
          </cell>
        </row>
        <row r="177">
          <cell r="D177">
            <v>37</v>
          </cell>
          <cell r="E177">
            <v>12</v>
          </cell>
        </row>
        <row r="178">
          <cell r="D178">
            <v>38</v>
          </cell>
          <cell r="E178">
            <v>13</v>
          </cell>
        </row>
        <row r="179">
          <cell r="D179">
            <v>39</v>
          </cell>
          <cell r="E179">
            <v>14</v>
          </cell>
        </row>
        <row r="180">
          <cell r="D180">
            <v>40</v>
          </cell>
          <cell r="E180">
            <v>15</v>
          </cell>
        </row>
        <row r="181">
          <cell r="D181">
            <v>41</v>
          </cell>
          <cell r="E181">
            <v>16</v>
          </cell>
        </row>
        <row r="182">
          <cell r="D182">
            <v>42</v>
          </cell>
          <cell r="E182">
            <v>17</v>
          </cell>
        </row>
        <row r="183">
          <cell r="D183">
            <v>43</v>
          </cell>
          <cell r="E183">
            <v>19</v>
          </cell>
        </row>
        <row r="184">
          <cell r="D184">
            <v>44</v>
          </cell>
          <cell r="E184">
            <v>20</v>
          </cell>
        </row>
        <row r="185">
          <cell r="D185">
            <v>45</v>
          </cell>
          <cell r="E185">
            <v>21</v>
          </cell>
        </row>
        <row r="186">
          <cell r="D186">
            <v>46</v>
          </cell>
          <cell r="E186">
            <v>22</v>
          </cell>
        </row>
        <row r="187">
          <cell r="D187">
            <v>47</v>
          </cell>
          <cell r="E187">
            <v>24</v>
          </cell>
        </row>
        <row r="188">
          <cell r="D188">
            <v>48</v>
          </cell>
          <cell r="E188">
            <v>25</v>
          </cell>
        </row>
        <row r="189">
          <cell r="D189">
            <v>49</v>
          </cell>
          <cell r="E189">
            <v>26</v>
          </cell>
        </row>
        <row r="190">
          <cell r="D190">
            <v>50</v>
          </cell>
          <cell r="E190">
            <v>28</v>
          </cell>
        </row>
        <row r="191">
          <cell r="D191">
            <v>51</v>
          </cell>
          <cell r="E191">
            <v>30</v>
          </cell>
        </row>
        <row r="192">
          <cell r="D192">
            <v>52</v>
          </cell>
          <cell r="E192">
            <v>31</v>
          </cell>
        </row>
        <row r="193">
          <cell r="D193">
            <v>53</v>
          </cell>
          <cell r="E193">
            <v>33</v>
          </cell>
        </row>
        <row r="194">
          <cell r="D194">
            <v>54</v>
          </cell>
          <cell r="E194">
            <v>35</v>
          </cell>
        </row>
        <row r="195">
          <cell r="D195">
            <v>55</v>
          </cell>
          <cell r="E195">
            <v>37</v>
          </cell>
        </row>
        <row r="196">
          <cell r="D196">
            <v>56</v>
          </cell>
          <cell r="E196">
            <v>39</v>
          </cell>
        </row>
        <row r="197">
          <cell r="D197">
            <v>57</v>
          </cell>
          <cell r="E197">
            <v>41</v>
          </cell>
        </row>
        <row r="198">
          <cell r="D198">
            <v>58</v>
          </cell>
          <cell r="E198">
            <v>44</v>
          </cell>
        </row>
        <row r="199">
          <cell r="D199">
            <v>59</v>
          </cell>
          <cell r="E199">
            <v>46</v>
          </cell>
        </row>
        <row r="200">
          <cell r="D200">
            <v>60</v>
          </cell>
          <cell r="E200">
            <v>49</v>
          </cell>
        </row>
        <row r="201">
          <cell r="D201">
            <v>61</v>
          </cell>
          <cell r="E201">
            <v>52</v>
          </cell>
        </row>
        <row r="202">
          <cell r="D202">
            <v>62</v>
          </cell>
          <cell r="E202">
            <v>55</v>
          </cell>
        </row>
        <row r="203">
          <cell r="D203">
            <v>63</v>
          </cell>
          <cell r="E203">
            <v>57</v>
          </cell>
        </row>
        <row r="204">
          <cell r="D204">
            <v>64</v>
          </cell>
          <cell r="E204">
            <v>60</v>
          </cell>
        </row>
        <row r="205">
          <cell r="D205">
            <v>65</v>
          </cell>
          <cell r="E205">
            <v>64</v>
          </cell>
        </row>
        <row r="206">
          <cell r="D206">
            <v>66</v>
          </cell>
          <cell r="E206">
            <v>67</v>
          </cell>
        </row>
        <row r="207">
          <cell r="D207">
            <v>67</v>
          </cell>
          <cell r="E207">
            <v>71</v>
          </cell>
        </row>
        <row r="208">
          <cell r="D208">
            <v>68</v>
          </cell>
          <cell r="E208">
            <v>75</v>
          </cell>
        </row>
        <row r="209">
          <cell r="D209">
            <v>69</v>
          </cell>
          <cell r="E209">
            <v>78</v>
          </cell>
        </row>
        <row r="210">
          <cell r="D210">
            <v>70</v>
          </cell>
          <cell r="E210">
            <v>82</v>
          </cell>
        </row>
        <row r="211">
          <cell r="D211">
            <v>71</v>
          </cell>
          <cell r="E211">
            <v>86</v>
          </cell>
        </row>
        <row r="212">
          <cell r="D212">
            <v>72</v>
          </cell>
          <cell r="E212">
            <v>90</v>
          </cell>
        </row>
        <row r="213">
          <cell r="D213">
            <v>73</v>
          </cell>
          <cell r="E213">
            <v>95</v>
          </cell>
        </row>
        <row r="214">
          <cell r="D214">
            <v>74</v>
          </cell>
          <cell r="E214">
            <v>100</v>
          </cell>
        </row>
        <row r="215">
          <cell r="D215">
            <v>75</v>
          </cell>
          <cell r="E215">
            <v>105</v>
          </cell>
        </row>
        <row r="216">
          <cell r="D216">
            <v>76</v>
          </cell>
          <cell r="E216">
            <v>110</v>
          </cell>
        </row>
        <row r="217">
          <cell r="D217">
            <v>77</v>
          </cell>
          <cell r="E217">
            <v>115</v>
          </cell>
        </row>
        <row r="218">
          <cell r="D218">
            <v>78</v>
          </cell>
          <cell r="E218">
            <v>120</v>
          </cell>
        </row>
        <row r="219">
          <cell r="D219">
            <v>79</v>
          </cell>
          <cell r="E219">
            <v>126</v>
          </cell>
        </row>
        <row r="220">
          <cell r="D220">
            <v>80</v>
          </cell>
          <cell r="E220">
            <v>131</v>
          </cell>
        </row>
        <row r="221">
          <cell r="D221">
            <v>81</v>
          </cell>
          <cell r="E221">
            <v>138</v>
          </cell>
        </row>
        <row r="222">
          <cell r="D222">
            <v>82</v>
          </cell>
          <cell r="E222">
            <v>144</v>
          </cell>
        </row>
        <row r="223">
          <cell r="D223">
            <v>83</v>
          </cell>
          <cell r="E223">
            <v>151</v>
          </cell>
        </row>
        <row r="224">
          <cell r="D224">
            <v>84</v>
          </cell>
          <cell r="E224">
            <v>157</v>
          </cell>
        </row>
        <row r="225">
          <cell r="D225">
            <v>85</v>
          </cell>
          <cell r="E225">
            <v>164</v>
          </cell>
        </row>
        <row r="226">
          <cell r="D226">
            <v>86</v>
          </cell>
          <cell r="E226">
            <v>171</v>
          </cell>
        </row>
        <row r="227">
          <cell r="D227">
            <v>87</v>
          </cell>
          <cell r="E227">
            <v>178</v>
          </cell>
        </row>
        <row r="228">
          <cell r="D228">
            <v>88</v>
          </cell>
          <cell r="E228">
            <v>185</v>
          </cell>
        </row>
        <row r="229">
          <cell r="D229">
            <v>89</v>
          </cell>
          <cell r="E229">
            <v>192</v>
          </cell>
        </row>
        <row r="230">
          <cell r="D230">
            <v>90</v>
          </cell>
          <cell r="E230">
            <v>200</v>
          </cell>
        </row>
        <row r="231">
          <cell r="D231">
            <v>91</v>
          </cell>
          <cell r="E231">
            <v>208</v>
          </cell>
        </row>
        <row r="232">
          <cell r="D232">
            <v>92</v>
          </cell>
          <cell r="E232">
            <v>216</v>
          </cell>
        </row>
        <row r="233">
          <cell r="D233">
            <v>93</v>
          </cell>
          <cell r="E233">
            <v>225</v>
          </cell>
        </row>
        <row r="234">
          <cell r="D234">
            <v>94</v>
          </cell>
          <cell r="E234">
            <v>233</v>
          </cell>
        </row>
        <row r="235">
          <cell r="D235">
            <v>95</v>
          </cell>
          <cell r="E235">
            <v>241</v>
          </cell>
        </row>
        <row r="236">
          <cell r="D236">
            <v>96</v>
          </cell>
          <cell r="E236">
            <v>250</v>
          </cell>
        </row>
        <row r="237">
          <cell r="D237">
            <v>97</v>
          </cell>
          <cell r="E237">
            <v>259</v>
          </cell>
        </row>
        <row r="238">
          <cell r="D238">
            <v>98</v>
          </cell>
          <cell r="E238">
            <v>269</v>
          </cell>
        </row>
        <row r="239">
          <cell r="D239">
            <v>99</v>
          </cell>
          <cell r="E239">
            <v>279</v>
          </cell>
        </row>
        <row r="240">
          <cell r="D240">
            <v>100</v>
          </cell>
          <cell r="E240">
            <v>289</v>
          </cell>
        </row>
        <row r="241">
          <cell r="D241">
            <v>101</v>
          </cell>
          <cell r="E241">
            <v>299</v>
          </cell>
        </row>
        <row r="242">
          <cell r="D242">
            <v>102</v>
          </cell>
          <cell r="E242">
            <v>309</v>
          </cell>
        </row>
        <row r="243">
          <cell r="D243">
            <v>103</v>
          </cell>
          <cell r="E243">
            <v>319</v>
          </cell>
        </row>
        <row r="244">
          <cell r="D244">
            <v>104</v>
          </cell>
          <cell r="E244">
            <v>329</v>
          </cell>
        </row>
        <row r="245">
          <cell r="D245">
            <v>105</v>
          </cell>
          <cell r="E245">
            <v>341</v>
          </cell>
        </row>
        <row r="246">
          <cell r="D246">
            <v>106</v>
          </cell>
          <cell r="E246">
            <v>352</v>
          </cell>
        </row>
        <row r="247">
          <cell r="D247">
            <v>107</v>
          </cell>
          <cell r="E247">
            <v>364</v>
          </cell>
        </row>
        <row r="248">
          <cell r="D248">
            <v>108</v>
          </cell>
          <cell r="E248">
            <v>376</v>
          </cell>
        </row>
        <row r="249">
          <cell r="D249">
            <v>109</v>
          </cell>
          <cell r="E249">
            <v>388</v>
          </cell>
        </row>
        <row r="250">
          <cell r="D250">
            <v>110</v>
          </cell>
          <cell r="E250">
            <v>400</v>
          </cell>
        </row>
        <row r="251">
          <cell r="D251">
            <v>111</v>
          </cell>
          <cell r="E251">
            <v>412</v>
          </cell>
        </row>
        <row r="252">
          <cell r="D252">
            <v>112</v>
          </cell>
          <cell r="E252">
            <v>424</v>
          </cell>
        </row>
        <row r="253">
          <cell r="D253">
            <v>113</v>
          </cell>
          <cell r="E253">
            <v>438</v>
          </cell>
        </row>
        <row r="254">
          <cell r="D254">
            <v>114</v>
          </cell>
          <cell r="E254">
            <v>451</v>
          </cell>
        </row>
        <row r="255">
          <cell r="D255">
            <v>115</v>
          </cell>
          <cell r="E255">
            <v>465</v>
          </cell>
        </row>
        <row r="256">
          <cell r="D256">
            <v>116</v>
          </cell>
          <cell r="E256">
            <v>479</v>
          </cell>
        </row>
        <row r="257">
          <cell r="D257">
            <v>117</v>
          </cell>
          <cell r="E257">
            <v>493</v>
          </cell>
        </row>
        <row r="258">
          <cell r="D258">
            <v>118</v>
          </cell>
          <cell r="E258">
            <v>507</v>
          </cell>
        </row>
        <row r="259">
          <cell r="D259">
            <v>119</v>
          </cell>
          <cell r="E259">
            <v>521</v>
          </cell>
        </row>
        <row r="260">
          <cell r="D260">
            <v>120</v>
          </cell>
          <cell r="E260">
            <v>535</v>
          </cell>
        </row>
        <row r="261">
          <cell r="D261">
            <v>121</v>
          </cell>
          <cell r="E261">
            <v>550</v>
          </cell>
        </row>
        <row r="262">
          <cell r="D262">
            <v>122</v>
          </cell>
          <cell r="E262">
            <v>564</v>
          </cell>
        </row>
        <row r="263">
          <cell r="D263">
            <v>123</v>
          </cell>
          <cell r="E263">
            <v>578</v>
          </cell>
        </row>
        <row r="264">
          <cell r="D264">
            <v>124</v>
          </cell>
          <cell r="E264">
            <v>592</v>
          </cell>
        </row>
        <row r="265">
          <cell r="D265">
            <v>125</v>
          </cell>
          <cell r="E265">
            <v>607</v>
          </cell>
        </row>
        <row r="266">
          <cell r="D266">
            <v>126</v>
          </cell>
          <cell r="E266">
            <v>621</v>
          </cell>
        </row>
        <row r="267">
          <cell r="D267">
            <v>127</v>
          </cell>
          <cell r="E267">
            <v>635</v>
          </cell>
        </row>
        <row r="268">
          <cell r="D268">
            <v>128</v>
          </cell>
          <cell r="E268">
            <v>650</v>
          </cell>
        </row>
        <row r="269">
          <cell r="D269">
            <v>129</v>
          </cell>
          <cell r="E269">
            <v>664</v>
          </cell>
        </row>
        <row r="270">
          <cell r="D270">
            <v>130</v>
          </cell>
          <cell r="E270">
            <v>678</v>
          </cell>
        </row>
        <row r="271">
          <cell r="D271">
            <v>131</v>
          </cell>
          <cell r="E271">
            <v>693</v>
          </cell>
        </row>
        <row r="272">
          <cell r="D272">
            <v>132</v>
          </cell>
          <cell r="E272">
            <v>707</v>
          </cell>
        </row>
        <row r="273">
          <cell r="D273">
            <v>133</v>
          </cell>
          <cell r="E273">
            <v>721</v>
          </cell>
        </row>
        <row r="274">
          <cell r="D274">
            <v>134</v>
          </cell>
          <cell r="E274">
            <v>735</v>
          </cell>
        </row>
        <row r="275">
          <cell r="D275">
            <v>135</v>
          </cell>
          <cell r="E275">
            <v>750</v>
          </cell>
        </row>
        <row r="276">
          <cell r="D276">
            <v>136</v>
          </cell>
          <cell r="E276">
            <v>764</v>
          </cell>
        </row>
        <row r="277">
          <cell r="D277">
            <v>137</v>
          </cell>
          <cell r="E277">
            <v>778</v>
          </cell>
        </row>
        <row r="278">
          <cell r="D278">
            <v>138</v>
          </cell>
          <cell r="E278">
            <v>793</v>
          </cell>
        </row>
        <row r="279">
          <cell r="D279">
            <v>139</v>
          </cell>
          <cell r="E279">
            <v>807</v>
          </cell>
        </row>
        <row r="280">
          <cell r="D280">
            <v>140</v>
          </cell>
          <cell r="E280">
            <v>821</v>
          </cell>
        </row>
        <row r="281">
          <cell r="D281">
            <v>141</v>
          </cell>
          <cell r="E281">
            <v>836</v>
          </cell>
        </row>
        <row r="282">
          <cell r="D282">
            <v>142</v>
          </cell>
          <cell r="E282">
            <v>850</v>
          </cell>
        </row>
        <row r="283">
          <cell r="D283">
            <v>143</v>
          </cell>
          <cell r="E283">
            <v>864</v>
          </cell>
        </row>
        <row r="284">
          <cell r="D284">
            <v>144</v>
          </cell>
          <cell r="E284">
            <v>879</v>
          </cell>
        </row>
        <row r="285">
          <cell r="D285">
            <v>145</v>
          </cell>
          <cell r="E285">
            <v>893</v>
          </cell>
        </row>
        <row r="286">
          <cell r="D286">
            <v>146</v>
          </cell>
          <cell r="E286">
            <v>907</v>
          </cell>
        </row>
        <row r="287">
          <cell r="D287">
            <v>147</v>
          </cell>
          <cell r="E287">
            <v>922</v>
          </cell>
        </row>
        <row r="288">
          <cell r="D288">
            <v>148</v>
          </cell>
          <cell r="E288">
            <v>936</v>
          </cell>
        </row>
        <row r="289">
          <cell r="D289">
            <v>149</v>
          </cell>
          <cell r="E289">
            <v>950</v>
          </cell>
        </row>
        <row r="290">
          <cell r="D290">
            <v>150</v>
          </cell>
          <cell r="E290">
            <v>965</v>
          </cell>
        </row>
        <row r="291">
          <cell r="D291">
            <v>151</v>
          </cell>
          <cell r="E291">
            <v>979</v>
          </cell>
        </row>
        <row r="292">
          <cell r="D292">
            <v>152</v>
          </cell>
          <cell r="E292">
            <v>993</v>
          </cell>
        </row>
        <row r="293">
          <cell r="D293">
            <v>153</v>
          </cell>
          <cell r="E293">
            <v>1008</v>
          </cell>
        </row>
        <row r="294">
          <cell r="D294">
            <v>154</v>
          </cell>
          <cell r="E294">
            <v>1022</v>
          </cell>
        </row>
        <row r="295">
          <cell r="D295">
            <v>155</v>
          </cell>
          <cell r="E295">
            <v>1036</v>
          </cell>
        </row>
        <row r="296">
          <cell r="D296">
            <v>156</v>
          </cell>
          <cell r="E296">
            <v>1050</v>
          </cell>
        </row>
        <row r="297">
          <cell r="D297">
            <v>157</v>
          </cell>
          <cell r="E297">
            <v>1065</v>
          </cell>
        </row>
        <row r="298">
          <cell r="D298">
            <v>158</v>
          </cell>
          <cell r="E298">
            <v>1079</v>
          </cell>
        </row>
        <row r="299">
          <cell r="D299">
            <v>159</v>
          </cell>
          <cell r="E299">
            <v>1093</v>
          </cell>
        </row>
        <row r="300">
          <cell r="D300">
            <v>160</v>
          </cell>
          <cell r="E300">
            <v>1108</v>
          </cell>
        </row>
        <row r="301">
          <cell r="D301">
            <v>161</v>
          </cell>
          <cell r="E301">
            <v>1122</v>
          </cell>
        </row>
        <row r="302">
          <cell r="D302">
            <v>162</v>
          </cell>
          <cell r="E302">
            <v>1136</v>
          </cell>
        </row>
        <row r="303">
          <cell r="D303">
            <v>163</v>
          </cell>
          <cell r="E303">
            <v>1151</v>
          </cell>
        </row>
        <row r="304">
          <cell r="D304">
            <v>164</v>
          </cell>
          <cell r="E304">
            <v>1165</v>
          </cell>
        </row>
        <row r="305">
          <cell r="D305">
            <v>165</v>
          </cell>
          <cell r="E305">
            <v>1179</v>
          </cell>
        </row>
        <row r="306">
          <cell r="D306">
            <v>166</v>
          </cell>
          <cell r="E306">
            <v>1194</v>
          </cell>
        </row>
        <row r="307">
          <cell r="D307">
            <v>167</v>
          </cell>
          <cell r="E307">
            <v>1208</v>
          </cell>
        </row>
        <row r="308">
          <cell r="D308">
            <v>168</v>
          </cell>
          <cell r="E308">
            <v>1222</v>
          </cell>
        </row>
        <row r="309">
          <cell r="D309">
            <v>169</v>
          </cell>
          <cell r="E309">
            <v>1238</v>
          </cell>
        </row>
        <row r="310">
          <cell r="D310">
            <v>170</v>
          </cell>
          <cell r="E310">
            <v>1253</v>
          </cell>
        </row>
        <row r="311">
          <cell r="D311">
            <v>171</v>
          </cell>
          <cell r="E311">
            <v>1269</v>
          </cell>
        </row>
        <row r="312">
          <cell r="D312">
            <v>172</v>
          </cell>
          <cell r="E312">
            <v>1285</v>
          </cell>
        </row>
        <row r="313">
          <cell r="D313">
            <v>173</v>
          </cell>
          <cell r="E313">
            <v>1301</v>
          </cell>
        </row>
        <row r="314">
          <cell r="D314">
            <v>174</v>
          </cell>
          <cell r="E314">
            <v>1317</v>
          </cell>
        </row>
        <row r="315">
          <cell r="D315">
            <v>175</v>
          </cell>
          <cell r="E315">
            <v>1333</v>
          </cell>
        </row>
        <row r="316">
          <cell r="D316">
            <v>176</v>
          </cell>
          <cell r="E316">
            <v>1349</v>
          </cell>
        </row>
        <row r="317">
          <cell r="D317">
            <v>177</v>
          </cell>
          <cell r="E317">
            <v>1365</v>
          </cell>
        </row>
        <row r="318">
          <cell r="D318">
            <v>178</v>
          </cell>
          <cell r="E318">
            <v>1381</v>
          </cell>
        </row>
        <row r="319">
          <cell r="D319">
            <v>179</v>
          </cell>
          <cell r="E319">
            <v>1398</v>
          </cell>
        </row>
        <row r="320">
          <cell r="D320">
            <v>180</v>
          </cell>
          <cell r="E320">
            <v>1414</v>
          </cell>
        </row>
        <row r="321">
          <cell r="D321">
            <v>181</v>
          </cell>
          <cell r="E321">
            <v>1431</v>
          </cell>
        </row>
        <row r="322">
          <cell r="D322">
            <v>182</v>
          </cell>
          <cell r="E322">
            <v>1447</v>
          </cell>
        </row>
        <row r="323">
          <cell r="D323">
            <v>183</v>
          </cell>
          <cell r="E323">
            <v>1464</v>
          </cell>
        </row>
        <row r="324">
          <cell r="D324">
            <v>184</v>
          </cell>
          <cell r="E324">
            <v>1481</v>
          </cell>
        </row>
        <row r="325">
          <cell r="D325">
            <v>185</v>
          </cell>
          <cell r="E325">
            <v>1499</v>
          </cell>
        </row>
        <row r="326">
          <cell r="D326">
            <v>186</v>
          </cell>
          <cell r="E326">
            <v>1518</v>
          </cell>
        </row>
        <row r="327">
          <cell r="D327">
            <v>187</v>
          </cell>
          <cell r="E327">
            <v>1536</v>
          </cell>
        </row>
        <row r="328">
          <cell r="D328">
            <v>188</v>
          </cell>
          <cell r="E328">
            <v>1555</v>
          </cell>
        </row>
        <row r="329">
          <cell r="D329">
            <v>189</v>
          </cell>
          <cell r="E329">
            <v>1574</v>
          </cell>
        </row>
        <row r="330">
          <cell r="D330">
            <v>190</v>
          </cell>
          <cell r="E330">
            <v>1593</v>
          </cell>
        </row>
        <row r="331">
          <cell r="D331">
            <v>191</v>
          </cell>
          <cell r="E331">
            <v>1612</v>
          </cell>
        </row>
        <row r="332">
          <cell r="D332">
            <v>192</v>
          </cell>
          <cell r="E332">
            <v>1631</v>
          </cell>
        </row>
        <row r="333">
          <cell r="D333">
            <v>193</v>
          </cell>
          <cell r="E333">
            <v>1650</v>
          </cell>
        </row>
        <row r="334">
          <cell r="D334">
            <v>194</v>
          </cell>
          <cell r="E334">
            <v>1669</v>
          </cell>
        </row>
        <row r="335">
          <cell r="D335">
            <v>195</v>
          </cell>
          <cell r="E335">
            <v>1689</v>
          </cell>
        </row>
        <row r="336">
          <cell r="D336">
            <v>196</v>
          </cell>
          <cell r="E336">
            <v>1708</v>
          </cell>
        </row>
        <row r="337">
          <cell r="D337">
            <v>197</v>
          </cell>
          <cell r="E337">
            <v>1728</v>
          </cell>
        </row>
        <row r="338">
          <cell r="D338">
            <v>198</v>
          </cell>
          <cell r="E338">
            <v>1748</v>
          </cell>
        </row>
        <row r="339">
          <cell r="D339">
            <v>199</v>
          </cell>
          <cell r="E339">
            <v>1767</v>
          </cell>
        </row>
        <row r="340">
          <cell r="D340">
            <v>200</v>
          </cell>
          <cell r="E340">
            <v>1787</v>
          </cell>
        </row>
        <row r="341">
          <cell r="D341">
            <v>201</v>
          </cell>
          <cell r="E341">
            <v>1809</v>
          </cell>
        </row>
        <row r="342">
          <cell r="D342">
            <v>202</v>
          </cell>
          <cell r="E342">
            <v>1830</v>
          </cell>
        </row>
        <row r="343">
          <cell r="D343">
            <v>203</v>
          </cell>
          <cell r="E343">
            <v>1852</v>
          </cell>
        </row>
        <row r="344">
          <cell r="D344">
            <v>204</v>
          </cell>
          <cell r="E344">
            <v>1873</v>
          </cell>
        </row>
        <row r="345">
          <cell r="D345">
            <v>205</v>
          </cell>
          <cell r="E345">
            <v>1895</v>
          </cell>
        </row>
        <row r="346">
          <cell r="D346">
            <v>206</v>
          </cell>
          <cell r="E346">
            <v>1917</v>
          </cell>
        </row>
        <row r="347">
          <cell r="D347">
            <v>207</v>
          </cell>
          <cell r="E347">
            <v>1939</v>
          </cell>
        </row>
        <row r="348">
          <cell r="D348">
            <v>208</v>
          </cell>
          <cell r="E348">
            <v>1961</v>
          </cell>
        </row>
        <row r="349">
          <cell r="D349">
            <v>209</v>
          </cell>
          <cell r="E349">
            <v>1983</v>
          </cell>
        </row>
        <row r="350">
          <cell r="D350">
            <v>210</v>
          </cell>
          <cell r="E350">
            <v>2006</v>
          </cell>
        </row>
        <row r="351">
          <cell r="D351">
            <v>211</v>
          </cell>
          <cell r="E351">
            <v>2028</v>
          </cell>
        </row>
        <row r="352">
          <cell r="D352">
            <v>212</v>
          </cell>
          <cell r="E352">
            <v>2051</v>
          </cell>
        </row>
        <row r="353">
          <cell r="D353">
            <v>213</v>
          </cell>
          <cell r="E353">
            <v>2073</v>
          </cell>
        </row>
        <row r="354">
          <cell r="D354">
            <v>214</v>
          </cell>
          <cell r="E354">
            <v>2096</v>
          </cell>
        </row>
        <row r="355">
          <cell r="D355">
            <v>215</v>
          </cell>
          <cell r="E355">
            <v>2119</v>
          </cell>
        </row>
        <row r="356">
          <cell r="D356">
            <v>216</v>
          </cell>
          <cell r="E356">
            <v>2142</v>
          </cell>
        </row>
        <row r="357">
          <cell r="D357">
            <v>217</v>
          </cell>
          <cell r="E357">
            <v>2166</v>
          </cell>
        </row>
        <row r="358">
          <cell r="D358">
            <v>218</v>
          </cell>
          <cell r="E358">
            <v>2190</v>
          </cell>
        </row>
        <row r="359">
          <cell r="D359">
            <v>219</v>
          </cell>
          <cell r="E359">
            <v>2215</v>
          </cell>
        </row>
        <row r="360">
          <cell r="D360">
            <v>220</v>
          </cell>
          <cell r="E360">
            <v>2240</v>
          </cell>
        </row>
        <row r="361">
          <cell r="D361">
            <v>221</v>
          </cell>
          <cell r="E361">
            <v>2264</v>
          </cell>
        </row>
        <row r="362">
          <cell r="D362">
            <v>222</v>
          </cell>
          <cell r="E362">
            <v>2289</v>
          </cell>
        </row>
        <row r="363">
          <cell r="D363">
            <v>223</v>
          </cell>
          <cell r="E363">
            <v>2314</v>
          </cell>
        </row>
        <row r="364">
          <cell r="D364">
            <v>224</v>
          </cell>
          <cell r="E364">
            <v>2339</v>
          </cell>
        </row>
        <row r="365">
          <cell r="D365">
            <v>225</v>
          </cell>
          <cell r="E365">
            <v>2364</v>
          </cell>
        </row>
        <row r="366">
          <cell r="D366">
            <v>226</v>
          </cell>
          <cell r="E366">
            <v>2390</v>
          </cell>
        </row>
        <row r="367">
          <cell r="D367">
            <v>227</v>
          </cell>
          <cell r="E367">
            <v>2415</v>
          </cell>
        </row>
        <row r="368">
          <cell r="D368">
            <v>228</v>
          </cell>
          <cell r="E368">
            <v>2441</v>
          </cell>
        </row>
        <row r="369">
          <cell r="D369">
            <v>229</v>
          </cell>
          <cell r="E369">
            <v>2466</v>
          </cell>
        </row>
        <row r="370">
          <cell r="D370">
            <v>230</v>
          </cell>
          <cell r="E370">
            <v>2492</v>
          </cell>
        </row>
        <row r="371">
          <cell r="D371">
            <v>231</v>
          </cell>
          <cell r="E371">
            <v>2518</v>
          </cell>
        </row>
        <row r="372">
          <cell r="D372">
            <v>232</v>
          </cell>
          <cell r="E372">
            <v>2544</v>
          </cell>
        </row>
        <row r="373">
          <cell r="D373">
            <v>233</v>
          </cell>
          <cell r="E373">
            <v>2571</v>
          </cell>
        </row>
        <row r="374">
          <cell r="D374">
            <v>234</v>
          </cell>
          <cell r="E374">
            <v>2598</v>
          </cell>
        </row>
        <row r="375">
          <cell r="D375">
            <v>235</v>
          </cell>
          <cell r="E375">
            <v>2626</v>
          </cell>
        </row>
        <row r="376">
          <cell r="D376">
            <v>236</v>
          </cell>
          <cell r="E376">
            <v>2654</v>
          </cell>
        </row>
        <row r="377">
          <cell r="D377">
            <v>237</v>
          </cell>
          <cell r="E377">
            <v>2681</v>
          </cell>
        </row>
        <row r="378">
          <cell r="D378">
            <v>238</v>
          </cell>
          <cell r="E378">
            <v>2709</v>
          </cell>
        </row>
        <row r="379">
          <cell r="D379">
            <v>239</v>
          </cell>
          <cell r="E379">
            <v>2737</v>
          </cell>
        </row>
        <row r="380">
          <cell r="D380">
            <v>240</v>
          </cell>
          <cell r="E380">
            <v>2765</v>
          </cell>
        </row>
        <row r="381">
          <cell r="D381">
            <v>241</v>
          </cell>
          <cell r="E381">
            <v>2793</v>
          </cell>
        </row>
        <row r="382">
          <cell r="D382">
            <v>242</v>
          </cell>
          <cell r="E382">
            <v>2822</v>
          </cell>
        </row>
        <row r="383">
          <cell r="D383">
            <v>243</v>
          </cell>
          <cell r="E383">
            <v>2850</v>
          </cell>
        </row>
        <row r="384">
          <cell r="D384">
            <v>244</v>
          </cell>
          <cell r="E384">
            <v>2879</v>
          </cell>
        </row>
        <row r="385">
          <cell r="D385">
            <v>245</v>
          </cell>
          <cell r="E385">
            <v>2907</v>
          </cell>
        </row>
        <row r="386">
          <cell r="D386">
            <v>246</v>
          </cell>
          <cell r="E386">
            <v>2936</v>
          </cell>
        </row>
        <row r="387">
          <cell r="D387">
            <v>247</v>
          </cell>
          <cell r="E387">
            <v>2965</v>
          </cell>
        </row>
        <row r="388">
          <cell r="D388">
            <v>248</v>
          </cell>
          <cell r="E388">
            <v>2994</v>
          </cell>
        </row>
        <row r="389">
          <cell r="D389">
            <v>249</v>
          </cell>
          <cell r="E389">
            <v>3024</v>
          </cell>
        </row>
        <row r="390">
          <cell r="D390">
            <v>250</v>
          </cell>
          <cell r="E390">
            <v>3055</v>
          </cell>
        </row>
        <row r="391">
          <cell r="D391">
            <v>251</v>
          </cell>
          <cell r="E391">
            <v>3085</v>
          </cell>
        </row>
        <row r="392">
          <cell r="D392">
            <v>252</v>
          </cell>
          <cell r="E392">
            <v>3116</v>
          </cell>
        </row>
        <row r="393">
          <cell r="D393">
            <v>253</v>
          </cell>
          <cell r="E393">
            <v>3146</v>
          </cell>
        </row>
        <row r="394">
          <cell r="D394">
            <v>254</v>
          </cell>
          <cell r="E394">
            <v>3177</v>
          </cell>
        </row>
        <row r="395">
          <cell r="D395">
            <v>255</v>
          </cell>
          <cell r="E395">
            <v>3208</v>
          </cell>
        </row>
        <row r="396">
          <cell r="D396">
            <v>256</v>
          </cell>
          <cell r="E396">
            <v>3239</v>
          </cell>
        </row>
        <row r="397">
          <cell r="D397">
            <v>257</v>
          </cell>
          <cell r="E397">
            <v>3270</v>
          </cell>
        </row>
        <row r="398">
          <cell r="D398">
            <v>258</v>
          </cell>
          <cell r="E398">
            <v>3302</v>
          </cell>
        </row>
        <row r="399">
          <cell r="D399">
            <v>259</v>
          </cell>
          <cell r="E399">
            <v>3333</v>
          </cell>
        </row>
        <row r="400">
          <cell r="D400">
            <v>260</v>
          </cell>
          <cell r="E400">
            <v>3365</v>
          </cell>
        </row>
        <row r="401">
          <cell r="D401">
            <v>261</v>
          </cell>
          <cell r="E401">
            <v>3396</v>
          </cell>
        </row>
        <row r="402">
          <cell r="D402">
            <v>262</v>
          </cell>
          <cell r="E402">
            <v>3428</v>
          </cell>
        </row>
        <row r="403">
          <cell r="D403">
            <v>263</v>
          </cell>
          <cell r="E403">
            <v>3460</v>
          </cell>
        </row>
        <row r="404">
          <cell r="D404">
            <v>264</v>
          </cell>
          <cell r="E404">
            <v>3492</v>
          </cell>
        </row>
        <row r="405">
          <cell r="D405">
            <v>265</v>
          </cell>
          <cell r="E405">
            <v>3525</v>
          </cell>
        </row>
        <row r="406">
          <cell r="D406">
            <v>266</v>
          </cell>
          <cell r="E406">
            <v>3559</v>
          </cell>
        </row>
        <row r="407">
          <cell r="D407">
            <v>267</v>
          </cell>
          <cell r="E407">
            <v>3592</v>
          </cell>
        </row>
        <row r="408">
          <cell r="D408">
            <v>268</v>
          </cell>
          <cell r="E408">
            <v>3626</v>
          </cell>
        </row>
        <row r="409">
          <cell r="D409">
            <v>269</v>
          </cell>
          <cell r="E409">
            <v>3659</v>
          </cell>
        </row>
        <row r="410">
          <cell r="D410">
            <v>270</v>
          </cell>
          <cell r="E410">
            <v>3693</v>
          </cell>
        </row>
        <row r="411">
          <cell r="D411">
            <v>271</v>
          </cell>
          <cell r="E411">
            <v>3727</v>
          </cell>
        </row>
        <row r="412">
          <cell r="D412">
            <v>272</v>
          </cell>
          <cell r="E412">
            <v>3761</v>
          </cell>
        </row>
        <row r="413">
          <cell r="D413">
            <v>273</v>
          </cell>
          <cell r="E413">
            <v>3795</v>
          </cell>
        </row>
        <row r="414">
          <cell r="D414">
            <v>274</v>
          </cell>
          <cell r="E414">
            <v>3830</v>
          </cell>
        </row>
        <row r="415">
          <cell r="D415">
            <v>275</v>
          </cell>
          <cell r="E415">
            <v>3864</v>
          </cell>
        </row>
        <row r="416">
          <cell r="D416">
            <v>276</v>
          </cell>
          <cell r="E416">
            <v>3899</v>
          </cell>
        </row>
        <row r="417">
          <cell r="D417">
            <v>277</v>
          </cell>
          <cell r="E417">
            <v>3933</v>
          </cell>
        </row>
        <row r="418">
          <cell r="D418">
            <v>278</v>
          </cell>
          <cell r="E418">
            <v>3968</v>
          </cell>
        </row>
        <row r="419">
          <cell r="D419">
            <v>279</v>
          </cell>
          <cell r="E419">
            <v>4003</v>
          </cell>
        </row>
        <row r="420">
          <cell r="D420">
            <v>280</v>
          </cell>
          <cell r="E420">
            <v>4038</v>
          </cell>
        </row>
        <row r="421">
          <cell r="D421">
            <v>281</v>
          </cell>
          <cell r="E421">
            <v>4074</v>
          </cell>
        </row>
        <row r="422">
          <cell r="D422">
            <v>282</v>
          </cell>
          <cell r="E422">
            <v>4110</v>
          </cell>
        </row>
        <row r="423">
          <cell r="D423">
            <v>283</v>
          </cell>
          <cell r="E423">
            <v>4147</v>
          </cell>
        </row>
        <row r="424">
          <cell r="D424">
            <v>284</v>
          </cell>
          <cell r="E424">
            <v>4183</v>
          </cell>
        </row>
        <row r="425">
          <cell r="D425">
            <v>285</v>
          </cell>
          <cell r="E425">
            <v>4220</v>
          </cell>
        </row>
        <row r="426">
          <cell r="D426">
            <v>286</v>
          </cell>
          <cell r="E426">
            <v>4257</v>
          </cell>
        </row>
        <row r="427">
          <cell r="D427">
            <v>287</v>
          </cell>
          <cell r="E427">
            <v>4294</v>
          </cell>
        </row>
        <row r="428">
          <cell r="D428">
            <v>288</v>
          </cell>
          <cell r="E428">
            <v>4331</v>
          </cell>
        </row>
        <row r="429">
          <cell r="D429">
            <v>289</v>
          </cell>
          <cell r="E429">
            <v>4368</v>
          </cell>
        </row>
        <row r="430">
          <cell r="D430">
            <v>290</v>
          </cell>
          <cell r="E430">
            <v>4405</v>
          </cell>
        </row>
        <row r="431">
          <cell r="D431">
            <v>291</v>
          </cell>
          <cell r="E431">
            <v>4443</v>
          </cell>
        </row>
        <row r="432">
          <cell r="D432">
            <v>292</v>
          </cell>
          <cell r="E432">
            <v>4480</v>
          </cell>
        </row>
        <row r="433">
          <cell r="D433">
            <v>293</v>
          </cell>
          <cell r="E433">
            <v>4518</v>
          </cell>
        </row>
        <row r="434">
          <cell r="D434">
            <v>294</v>
          </cell>
          <cell r="E434">
            <v>4556</v>
          </cell>
        </row>
        <row r="435">
          <cell r="D435">
            <v>295</v>
          </cell>
          <cell r="E435">
            <v>4594</v>
          </cell>
        </row>
        <row r="436">
          <cell r="D436">
            <v>296</v>
          </cell>
          <cell r="E436">
            <v>4632</v>
          </cell>
        </row>
        <row r="437">
          <cell r="D437">
            <v>297</v>
          </cell>
          <cell r="E437">
            <v>4671</v>
          </cell>
        </row>
        <row r="438">
          <cell r="D438">
            <v>298</v>
          </cell>
          <cell r="E438">
            <v>4710</v>
          </cell>
        </row>
        <row r="439">
          <cell r="D439">
            <v>299</v>
          </cell>
          <cell r="E439">
            <v>4750</v>
          </cell>
        </row>
        <row r="440">
          <cell r="D440">
            <v>300</v>
          </cell>
          <cell r="E440">
            <v>4789</v>
          </cell>
        </row>
        <row r="441">
          <cell r="D441">
            <v>301</v>
          </cell>
          <cell r="E441">
            <v>4829</v>
          </cell>
        </row>
        <row r="442">
          <cell r="D442">
            <v>302</v>
          </cell>
          <cell r="E442">
            <v>4869</v>
          </cell>
        </row>
        <row r="443">
          <cell r="D443">
            <v>303</v>
          </cell>
          <cell r="E443">
            <v>4909</v>
          </cell>
        </row>
        <row r="444">
          <cell r="D444">
            <v>304</v>
          </cell>
          <cell r="E444">
            <v>4949</v>
          </cell>
        </row>
        <row r="445">
          <cell r="D445">
            <v>305</v>
          </cell>
          <cell r="E445">
            <v>4989</v>
          </cell>
        </row>
        <row r="446">
          <cell r="D446">
            <v>306</v>
          </cell>
          <cell r="E446">
            <v>5029</v>
          </cell>
        </row>
        <row r="447">
          <cell r="D447">
            <v>307</v>
          </cell>
          <cell r="E447">
            <v>5070</v>
          </cell>
        </row>
        <row r="448">
          <cell r="D448">
            <v>308</v>
          </cell>
          <cell r="E448">
            <v>5110</v>
          </cell>
        </row>
        <row r="449">
          <cell r="D449">
            <v>309</v>
          </cell>
          <cell r="E449">
            <v>5151</v>
          </cell>
        </row>
        <row r="450">
          <cell r="D450">
            <v>310</v>
          </cell>
          <cell r="E450">
            <v>5192</v>
          </cell>
        </row>
        <row r="451">
          <cell r="D451">
            <v>311</v>
          </cell>
          <cell r="E451">
            <v>5233</v>
          </cell>
        </row>
        <row r="452">
          <cell r="D452">
            <v>312</v>
          </cell>
          <cell r="E452">
            <v>5274</v>
          </cell>
        </row>
        <row r="453">
          <cell r="D453">
            <v>313</v>
          </cell>
          <cell r="E453">
            <v>5316</v>
          </cell>
        </row>
        <row r="454">
          <cell r="D454">
            <v>314</v>
          </cell>
          <cell r="E454">
            <v>5358</v>
          </cell>
        </row>
        <row r="455">
          <cell r="D455">
            <v>315</v>
          </cell>
          <cell r="E455">
            <v>5401</v>
          </cell>
        </row>
        <row r="456">
          <cell r="D456">
            <v>316</v>
          </cell>
          <cell r="E456">
            <v>5443</v>
          </cell>
        </row>
        <row r="457">
          <cell r="D457">
            <v>317</v>
          </cell>
          <cell r="E457">
            <v>5486</v>
          </cell>
        </row>
        <row r="458">
          <cell r="D458">
            <v>318</v>
          </cell>
          <cell r="E458">
            <v>5528</v>
          </cell>
        </row>
        <row r="459">
          <cell r="D459">
            <v>319</v>
          </cell>
          <cell r="E459">
            <v>5571</v>
          </cell>
        </row>
        <row r="460">
          <cell r="D460">
            <v>320</v>
          </cell>
          <cell r="E460">
            <v>5614</v>
          </cell>
        </row>
        <row r="461">
          <cell r="D461">
            <v>321</v>
          </cell>
          <cell r="E461">
            <v>5658</v>
          </cell>
        </row>
        <row r="462">
          <cell r="D462">
            <v>322</v>
          </cell>
          <cell r="E462">
            <v>5701</v>
          </cell>
        </row>
        <row r="463">
          <cell r="D463">
            <v>323</v>
          </cell>
          <cell r="E463">
            <v>5744</v>
          </cell>
        </row>
        <row r="464">
          <cell r="D464">
            <v>324</v>
          </cell>
          <cell r="E464">
            <v>5788</v>
          </cell>
        </row>
        <row r="465">
          <cell r="D465">
            <v>325</v>
          </cell>
          <cell r="E465">
            <v>5832</v>
          </cell>
        </row>
        <row r="466">
          <cell r="D466">
            <v>326</v>
          </cell>
          <cell r="E466">
            <v>5876</v>
          </cell>
        </row>
        <row r="467">
          <cell r="D467">
            <v>327</v>
          </cell>
          <cell r="E467">
            <v>5920</v>
          </cell>
        </row>
        <row r="468">
          <cell r="D468">
            <v>328</v>
          </cell>
          <cell r="E468">
            <v>5964</v>
          </cell>
        </row>
        <row r="469">
          <cell r="D469">
            <v>329</v>
          </cell>
          <cell r="E469">
            <v>6009</v>
          </cell>
        </row>
        <row r="470">
          <cell r="D470">
            <v>330</v>
          </cell>
          <cell r="E470">
            <v>6054</v>
          </cell>
        </row>
        <row r="471">
          <cell r="D471">
            <v>331</v>
          </cell>
          <cell r="E471">
            <v>6099</v>
          </cell>
        </row>
        <row r="472">
          <cell r="D472">
            <v>332</v>
          </cell>
          <cell r="E472">
            <v>6145</v>
          </cell>
        </row>
        <row r="473">
          <cell r="D473">
            <v>333</v>
          </cell>
          <cell r="E473">
            <v>6190</v>
          </cell>
        </row>
        <row r="474">
          <cell r="D474">
            <v>334</v>
          </cell>
          <cell r="E474">
            <v>6236</v>
          </cell>
        </row>
        <row r="475">
          <cell r="D475">
            <v>335</v>
          </cell>
          <cell r="E475">
            <v>6282</v>
          </cell>
        </row>
        <row r="476">
          <cell r="D476">
            <v>336</v>
          </cell>
          <cell r="E476">
            <v>6328</v>
          </cell>
        </row>
        <row r="477">
          <cell r="D477">
            <v>337</v>
          </cell>
          <cell r="E477">
            <v>6374</v>
          </cell>
        </row>
        <row r="478">
          <cell r="D478">
            <v>338</v>
          </cell>
          <cell r="E478">
            <v>6421</v>
          </cell>
        </row>
        <row r="479">
          <cell r="D479">
            <v>339</v>
          </cell>
          <cell r="E479">
            <v>6467</v>
          </cell>
        </row>
        <row r="480">
          <cell r="D480">
            <v>340</v>
          </cell>
          <cell r="E480">
            <v>6514</v>
          </cell>
        </row>
        <row r="481">
          <cell r="D481">
            <v>341</v>
          </cell>
          <cell r="E481">
            <v>6560</v>
          </cell>
        </row>
        <row r="482">
          <cell r="D482">
            <v>342</v>
          </cell>
          <cell r="E482">
            <v>6607</v>
          </cell>
        </row>
        <row r="483">
          <cell r="D483">
            <v>343</v>
          </cell>
          <cell r="E483">
            <v>6654</v>
          </cell>
        </row>
        <row r="484">
          <cell r="D484">
            <v>344</v>
          </cell>
          <cell r="E484">
            <v>6701</v>
          </cell>
        </row>
        <row r="485">
          <cell r="D485">
            <v>345</v>
          </cell>
          <cell r="E485">
            <v>6750</v>
          </cell>
        </row>
        <row r="486">
          <cell r="D486">
            <v>346</v>
          </cell>
          <cell r="E486">
            <v>6798</v>
          </cell>
        </row>
        <row r="487">
          <cell r="D487">
            <v>347</v>
          </cell>
          <cell r="E487">
            <v>6846</v>
          </cell>
        </row>
        <row r="488">
          <cell r="D488">
            <v>348</v>
          </cell>
          <cell r="E488">
            <v>6895</v>
          </cell>
        </row>
        <row r="489">
          <cell r="D489">
            <v>349</v>
          </cell>
          <cell r="E489">
            <v>6943</v>
          </cell>
        </row>
        <row r="490">
          <cell r="D490">
            <v>350</v>
          </cell>
          <cell r="E490">
            <v>6992</v>
          </cell>
        </row>
        <row r="491">
          <cell r="D491">
            <v>351</v>
          </cell>
          <cell r="E491">
            <v>7041</v>
          </cell>
        </row>
        <row r="492">
          <cell r="D492">
            <v>352</v>
          </cell>
          <cell r="E492">
            <v>7090</v>
          </cell>
        </row>
        <row r="493">
          <cell r="D493">
            <v>353</v>
          </cell>
          <cell r="E493">
            <v>7139</v>
          </cell>
        </row>
        <row r="494">
          <cell r="D494">
            <v>354</v>
          </cell>
          <cell r="E494">
            <v>7188</v>
          </cell>
        </row>
        <row r="495">
          <cell r="D495">
            <v>355</v>
          </cell>
          <cell r="E495">
            <v>7238</v>
          </cell>
        </row>
        <row r="496">
          <cell r="D496">
            <v>356</v>
          </cell>
          <cell r="E496">
            <v>7287</v>
          </cell>
        </row>
        <row r="497">
          <cell r="D497">
            <v>357</v>
          </cell>
          <cell r="E497">
            <v>7337</v>
          </cell>
        </row>
        <row r="498">
          <cell r="D498">
            <v>358</v>
          </cell>
          <cell r="E498">
            <v>7387</v>
          </cell>
        </row>
        <row r="499">
          <cell r="D499">
            <v>359</v>
          </cell>
          <cell r="E499">
            <v>7437</v>
          </cell>
        </row>
        <row r="500">
          <cell r="D500">
            <v>360</v>
          </cell>
          <cell r="E500">
            <v>7487</v>
          </cell>
        </row>
      </sheetData>
      <sheetData sheetId="3"/>
      <sheetData sheetId="4"/>
      <sheetData sheetId="5"/>
      <sheetData sheetId="6"/>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说明"/>
      <sheetName val="养成规划"/>
      <sheetName val="装备属性"/>
      <sheetName val="装备产出"/>
      <sheetName val="装备词条库配置"/>
      <sheetName val="属性汇总"/>
      <sheetName val="装备产出配置"/>
      <sheetName val="GM表配置"/>
      <sheetName val="Sheet1"/>
      <sheetName val="Sheet2"/>
    </sheetNames>
    <sheetDataSet>
      <sheetData sheetId="0"/>
      <sheetData sheetId="1"/>
      <sheetData sheetId="2">
        <row r="62">
          <cell r="E62">
            <v>0</v>
          </cell>
        </row>
        <row r="62">
          <cell r="G62" t="str">
            <v>白</v>
          </cell>
        </row>
        <row r="62">
          <cell r="I62">
            <v>16</v>
          </cell>
        </row>
        <row r="63">
          <cell r="E63">
            <v>0</v>
          </cell>
        </row>
        <row r="63">
          <cell r="G63" t="str">
            <v>绿</v>
          </cell>
        </row>
        <row r="63">
          <cell r="I63">
            <v>20</v>
          </cell>
        </row>
        <row r="64">
          <cell r="E64">
            <v>0</v>
          </cell>
        </row>
        <row r="64">
          <cell r="G64" t="str">
            <v>蓝</v>
          </cell>
        </row>
        <row r="64">
          <cell r="I64">
            <v>25</v>
          </cell>
        </row>
        <row r="65">
          <cell r="E65">
            <v>0</v>
          </cell>
        </row>
        <row r="65">
          <cell r="G65" t="str">
            <v>紫</v>
          </cell>
        </row>
        <row r="65">
          <cell r="I65">
            <v>30</v>
          </cell>
        </row>
        <row r="66">
          <cell r="E66">
            <v>0</v>
          </cell>
        </row>
        <row r="66">
          <cell r="G66" t="str">
            <v>橙</v>
          </cell>
        </row>
        <row r="66">
          <cell r="I66">
            <v>36</v>
          </cell>
        </row>
        <row r="67">
          <cell r="E67">
            <v>0</v>
          </cell>
        </row>
        <row r="67">
          <cell r="G67" t="str">
            <v>红</v>
          </cell>
        </row>
        <row r="67">
          <cell r="I67">
            <v>44</v>
          </cell>
        </row>
        <row r="68">
          <cell r="E68">
            <v>0</v>
          </cell>
        </row>
        <row r="68">
          <cell r="G68" t="str">
            <v>粉</v>
          </cell>
        </row>
        <row r="68">
          <cell r="I68">
            <v>55</v>
          </cell>
        </row>
        <row r="69">
          <cell r="E69">
            <v>0</v>
          </cell>
        </row>
        <row r="69">
          <cell r="G69" t="str">
            <v>彩</v>
          </cell>
        </row>
        <row r="69">
          <cell r="I69">
            <v>69</v>
          </cell>
        </row>
        <row r="70">
          <cell r="E70">
            <v>1</v>
          </cell>
        </row>
        <row r="70">
          <cell r="G70" t="str">
            <v>白</v>
          </cell>
        </row>
        <row r="70">
          <cell r="I70">
            <v>16</v>
          </cell>
        </row>
        <row r="71">
          <cell r="E71">
            <v>1</v>
          </cell>
        </row>
        <row r="71">
          <cell r="G71" t="str">
            <v>绿</v>
          </cell>
        </row>
        <row r="71">
          <cell r="I71">
            <v>20</v>
          </cell>
        </row>
        <row r="72">
          <cell r="E72">
            <v>1</v>
          </cell>
        </row>
        <row r="72">
          <cell r="G72" t="str">
            <v>蓝</v>
          </cell>
        </row>
        <row r="72">
          <cell r="I72">
            <v>25</v>
          </cell>
        </row>
        <row r="73">
          <cell r="E73">
            <v>1</v>
          </cell>
        </row>
        <row r="73">
          <cell r="G73" t="str">
            <v>紫</v>
          </cell>
        </row>
        <row r="73">
          <cell r="I73">
            <v>30</v>
          </cell>
        </row>
        <row r="74">
          <cell r="E74">
            <v>1</v>
          </cell>
        </row>
        <row r="74">
          <cell r="G74" t="str">
            <v>橙</v>
          </cell>
        </row>
        <row r="74">
          <cell r="I74">
            <v>36</v>
          </cell>
        </row>
        <row r="75">
          <cell r="E75">
            <v>1</v>
          </cell>
        </row>
        <row r="75">
          <cell r="G75" t="str">
            <v>红</v>
          </cell>
        </row>
        <row r="75">
          <cell r="I75">
            <v>44</v>
          </cell>
        </row>
        <row r="76">
          <cell r="E76">
            <v>1</v>
          </cell>
        </row>
        <row r="76">
          <cell r="G76" t="str">
            <v>粉</v>
          </cell>
        </row>
        <row r="76">
          <cell r="I76">
            <v>55</v>
          </cell>
        </row>
        <row r="77">
          <cell r="E77">
            <v>1</v>
          </cell>
        </row>
        <row r="77">
          <cell r="G77" t="str">
            <v>彩</v>
          </cell>
        </row>
        <row r="77">
          <cell r="I77">
            <v>69</v>
          </cell>
        </row>
        <row r="78">
          <cell r="E78">
            <v>10</v>
          </cell>
        </row>
        <row r="78">
          <cell r="G78" t="str">
            <v>白</v>
          </cell>
        </row>
        <row r="78">
          <cell r="I78">
            <v>30</v>
          </cell>
        </row>
        <row r="79">
          <cell r="E79">
            <v>10</v>
          </cell>
        </row>
        <row r="79">
          <cell r="G79" t="str">
            <v>绿</v>
          </cell>
        </row>
        <row r="79">
          <cell r="I79">
            <v>37</v>
          </cell>
        </row>
        <row r="80">
          <cell r="E80">
            <v>10</v>
          </cell>
        </row>
        <row r="80">
          <cell r="G80" t="str">
            <v>蓝</v>
          </cell>
        </row>
        <row r="80">
          <cell r="I80">
            <v>45</v>
          </cell>
        </row>
        <row r="81">
          <cell r="E81">
            <v>10</v>
          </cell>
        </row>
        <row r="81">
          <cell r="G81" t="str">
            <v>紫</v>
          </cell>
        </row>
        <row r="81">
          <cell r="I81">
            <v>54</v>
          </cell>
        </row>
        <row r="82">
          <cell r="E82">
            <v>10</v>
          </cell>
        </row>
        <row r="82">
          <cell r="G82" t="str">
            <v>橙</v>
          </cell>
        </row>
        <row r="82">
          <cell r="I82">
            <v>65</v>
          </cell>
        </row>
        <row r="83">
          <cell r="E83">
            <v>10</v>
          </cell>
        </row>
        <row r="83">
          <cell r="G83" t="str">
            <v>红</v>
          </cell>
        </row>
        <row r="83">
          <cell r="I83">
            <v>80</v>
          </cell>
        </row>
        <row r="84">
          <cell r="E84">
            <v>10</v>
          </cell>
        </row>
        <row r="84">
          <cell r="G84" t="str">
            <v>粉</v>
          </cell>
        </row>
        <row r="84">
          <cell r="I84">
            <v>100</v>
          </cell>
        </row>
        <row r="85">
          <cell r="E85">
            <v>10</v>
          </cell>
        </row>
        <row r="85">
          <cell r="G85" t="str">
            <v>彩</v>
          </cell>
        </row>
        <row r="85">
          <cell r="I85">
            <v>125</v>
          </cell>
        </row>
        <row r="86">
          <cell r="E86">
            <v>20</v>
          </cell>
        </row>
        <row r="86">
          <cell r="G86" t="str">
            <v>白</v>
          </cell>
        </row>
        <row r="86">
          <cell r="I86">
            <v>34</v>
          </cell>
        </row>
        <row r="87">
          <cell r="E87">
            <v>20</v>
          </cell>
        </row>
        <row r="87">
          <cell r="G87" t="str">
            <v>绿</v>
          </cell>
        </row>
        <row r="87">
          <cell r="I87">
            <v>43</v>
          </cell>
        </row>
        <row r="88">
          <cell r="E88">
            <v>20</v>
          </cell>
        </row>
        <row r="88">
          <cell r="G88" t="str">
            <v>蓝</v>
          </cell>
        </row>
        <row r="88">
          <cell r="I88">
            <v>51</v>
          </cell>
        </row>
        <row r="89">
          <cell r="E89">
            <v>20</v>
          </cell>
        </row>
        <row r="89">
          <cell r="G89" t="str">
            <v>紫</v>
          </cell>
        </row>
        <row r="89">
          <cell r="I89">
            <v>62</v>
          </cell>
        </row>
        <row r="90">
          <cell r="E90">
            <v>20</v>
          </cell>
        </row>
        <row r="90">
          <cell r="G90" t="str">
            <v>橙</v>
          </cell>
        </row>
        <row r="90">
          <cell r="I90">
            <v>74</v>
          </cell>
        </row>
        <row r="91">
          <cell r="E91">
            <v>20</v>
          </cell>
        </row>
        <row r="91">
          <cell r="G91" t="str">
            <v>红</v>
          </cell>
        </row>
        <row r="91">
          <cell r="I91">
            <v>92</v>
          </cell>
        </row>
        <row r="92">
          <cell r="E92">
            <v>20</v>
          </cell>
        </row>
        <row r="92">
          <cell r="G92" t="str">
            <v>粉</v>
          </cell>
        </row>
        <row r="92">
          <cell r="I92">
            <v>115</v>
          </cell>
        </row>
        <row r="93">
          <cell r="E93">
            <v>20</v>
          </cell>
        </row>
        <row r="93">
          <cell r="G93" t="str">
            <v>彩</v>
          </cell>
        </row>
        <row r="93">
          <cell r="I93">
            <v>143</v>
          </cell>
        </row>
        <row r="94">
          <cell r="E94">
            <v>30</v>
          </cell>
        </row>
        <row r="94">
          <cell r="G94" t="str">
            <v>白</v>
          </cell>
        </row>
        <row r="94">
          <cell r="I94">
            <v>39</v>
          </cell>
        </row>
        <row r="95">
          <cell r="E95">
            <v>30</v>
          </cell>
        </row>
        <row r="95">
          <cell r="G95" t="str">
            <v>绿</v>
          </cell>
        </row>
        <row r="95">
          <cell r="I95">
            <v>49</v>
          </cell>
        </row>
        <row r="96">
          <cell r="E96">
            <v>30</v>
          </cell>
        </row>
        <row r="96">
          <cell r="G96" t="str">
            <v>蓝</v>
          </cell>
        </row>
        <row r="96">
          <cell r="I96">
            <v>59</v>
          </cell>
        </row>
        <row r="97">
          <cell r="E97">
            <v>30</v>
          </cell>
        </row>
        <row r="97">
          <cell r="G97" t="str">
            <v>紫</v>
          </cell>
        </row>
        <row r="97">
          <cell r="I97">
            <v>71</v>
          </cell>
        </row>
        <row r="98">
          <cell r="E98">
            <v>30</v>
          </cell>
        </row>
        <row r="98">
          <cell r="G98" t="str">
            <v>橙</v>
          </cell>
        </row>
        <row r="98">
          <cell r="I98">
            <v>85</v>
          </cell>
        </row>
        <row r="99">
          <cell r="E99">
            <v>30</v>
          </cell>
        </row>
        <row r="99">
          <cell r="G99" t="str">
            <v>红</v>
          </cell>
        </row>
        <row r="99">
          <cell r="I99">
            <v>105</v>
          </cell>
        </row>
        <row r="100">
          <cell r="E100">
            <v>30</v>
          </cell>
        </row>
        <row r="100">
          <cell r="G100" t="str">
            <v>粉</v>
          </cell>
        </row>
        <row r="100">
          <cell r="I100">
            <v>132</v>
          </cell>
        </row>
        <row r="101">
          <cell r="E101">
            <v>30</v>
          </cell>
        </row>
        <row r="101">
          <cell r="G101" t="str">
            <v>彩</v>
          </cell>
        </row>
        <row r="101">
          <cell r="I101">
            <v>165</v>
          </cell>
        </row>
        <row r="102">
          <cell r="E102">
            <v>40</v>
          </cell>
        </row>
        <row r="102">
          <cell r="G102" t="str">
            <v>白</v>
          </cell>
        </row>
        <row r="102">
          <cell r="I102">
            <v>45</v>
          </cell>
        </row>
        <row r="103">
          <cell r="E103">
            <v>40</v>
          </cell>
        </row>
        <row r="103">
          <cell r="G103" t="str">
            <v>绿</v>
          </cell>
        </row>
        <row r="103">
          <cell r="I103">
            <v>56</v>
          </cell>
        </row>
        <row r="104">
          <cell r="E104">
            <v>40</v>
          </cell>
        </row>
        <row r="104">
          <cell r="G104" t="str">
            <v>蓝</v>
          </cell>
        </row>
        <row r="104">
          <cell r="I104">
            <v>68</v>
          </cell>
        </row>
        <row r="105">
          <cell r="E105">
            <v>40</v>
          </cell>
        </row>
        <row r="105">
          <cell r="G105" t="str">
            <v>紫</v>
          </cell>
        </row>
        <row r="105">
          <cell r="I105">
            <v>81</v>
          </cell>
        </row>
        <row r="106">
          <cell r="E106">
            <v>40</v>
          </cell>
        </row>
        <row r="106">
          <cell r="G106" t="str">
            <v>橙</v>
          </cell>
        </row>
        <row r="106">
          <cell r="I106">
            <v>98</v>
          </cell>
        </row>
        <row r="107">
          <cell r="E107">
            <v>40</v>
          </cell>
        </row>
        <row r="107">
          <cell r="G107" t="str">
            <v>红</v>
          </cell>
        </row>
        <row r="107">
          <cell r="I107">
            <v>121</v>
          </cell>
        </row>
        <row r="108">
          <cell r="E108">
            <v>40</v>
          </cell>
        </row>
        <row r="108">
          <cell r="G108" t="str">
            <v>粉</v>
          </cell>
        </row>
        <row r="108">
          <cell r="I108">
            <v>151</v>
          </cell>
        </row>
        <row r="109">
          <cell r="E109">
            <v>40</v>
          </cell>
        </row>
        <row r="109">
          <cell r="G109" t="str">
            <v>彩</v>
          </cell>
        </row>
        <row r="109">
          <cell r="I109">
            <v>189</v>
          </cell>
        </row>
        <row r="110">
          <cell r="E110">
            <v>50</v>
          </cell>
        </row>
        <row r="110">
          <cell r="G110" t="str">
            <v>白</v>
          </cell>
        </row>
        <row r="110">
          <cell r="I110">
            <v>52</v>
          </cell>
        </row>
        <row r="111">
          <cell r="E111">
            <v>50</v>
          </cell>
        </row>
        <row r="111">
          <cell r="G111" t="str">
            <v>绿</v>
          </cell>
        </row>
        <row r="111">
          <cell r="I111">
            <v>65</v>
          </cell>
        </row>
        <row r="112">
          <cell r="E112">
            <v>50</v>
          </cell>
        </row>
        <row r="112">
          <cell r="G112" t="str">
            <v>蓝</v>
          </cell>
        </row>
        <row r="112">
          <cell r="I112">
            <v>78</v>
          </cell>
        </row>
        <row r="113">
          <cell r="E113">
            <v>50</v>
          </cell>
        </row>
        <row r="113">
          <cell r="G113" t="str">
            <v>紫</v>
          </cell>
        </row>
        <row r="113">
          <cell r="I113">
            <v>94</v>
          </cell>
        </row>
        <row r="114">
          <cell r="E114">
            <v>50</v>
          </cell>
        </row>
        <row r="114">
          <cell r="G114" t="str">
            <v>橙</v>
          </cell>
        </row>
        <row r="114">
          <cell r="I114">
            <v>113</v>
          </cell>
        </row>
        <row r="115">
          <cell r="E115">
            <v>50</v>
          </cell>
        </row>
        <row r="115">
          <cell r="G115" t="str">
            <v>红</v>
          </cell>
        </row>
        <row r="115">
          <cell r="I115">
            <v>139</v>
          </cell>
        </row>
        <row r="116">
          <cell r="E116">
            <v>50</v>
          </cell>
        </row>
        <row r="116">
          <cell r="G116" t="str">
            <v>粉</v>
          </cell>
        </row>
        <row r="116">
          <cell r="I116">
            <v>174</v>
          </cell>
        </row>
        <row r="117">
          <cell r="E117">
            <v>50</v>
          </cell>
        </row>
        <row r="117">
          <cell r="G117" t="str">
            <v>彩</v>
          </cell>
        </row>
        <row r="117">
          <cell r="I117">
            <v>217</v>
          </cell>
        </row>
        <row r="118">
          <cell r="E118">
            <v>60</v>
          </cell>
        </row>
        <row r="118">
          <cell r="G118" t="str">
            <v>白</v>
          </cell>
        </row>
        <row r="118">
          <cell r="I118">
            <v>60</v>
          </cell>
        </row>
        <row r="119">
          <cell r="E119">
            <v>60</v>
          </cell>
        </row>
        <row r="119">
          <cell r="G119" t="str">
            <v>绿</v>
          </cell>
        </row>
        <row r="119">
          <cell r="I119">
            <v>75</v>
          </cell>
        </row>
        <row r="120">
          <cell r="E120">
            <v>60</v>
          </cell>
        </row>
        <row r="120">
          <cell r="G120" t="str">
            <v>蓝</v>
          </cell>
        </row>
        <row r="120">
          <cell r="I120">
            <v>90</v>
          </cell>
        </row>
        <row r="121">
          <cell r="E121">
            <v>60</v>
          </cell>
        </row>
        <row r="121">
          <cell r="G121" t="str">
            <v>紫</v>
          </cell>
        </row>
        <row r="121">
          <cell r="I121">
            <v>108</v>
          </cell>
        </row>
        <row r="122">
          <cell r="E122">
            <v>60</v>
          </cell>
        </row>
        <row r="122">
          <cell r="G122" t="str">
            <v>橙</v>
          </cell>
        </row>
        <row r="122">
          <cell r="I122">
            <v>130</v>
          </cell>
        </row>
        <row r="123">
          <cell r="E123">
            <v>60</v>
          </cell>
        </row>
        <row r="123">
          <cell r="G123" t="str">
            <v>红</v>
          </cell>
        </row>
        <row r="123">
          <cell r="I123">
            <v>160</v>
          </cell>
        </row>
        <row r="124">
          <cell r="E124">
            <v>60</v>
          </cell>
        </row>
        <row r="124">
          <cell r="G124" t="str">
            <v>粉</v>
          </cell>
        </row>
        <row r="124">
          <cell r="I124">
            <v>200</v>
          </cell>
        </row>
        <row r="125">
          <cell r="E125">
            <v>60</v>
          </cell>
        </row>
        <row r="125">
          <cell r="G125" t="str">
            <v>彩</v>
          </cell>
        </row>
        <row r="125">
          <cell r="I125">
            <v>250</v>
          </cell>
        </row>
        <row r="126">
          <cell r="E126">
            <v>70</v>
          </cell>
        </row>
        <row r="126">
          <cell r="G126" t="str">
            <v>白</v>
          </cell>
        </row>
        <row r="126">
          <cell r="I126">
            <v>69</v>
          </cell>
        </row>
        <row r="127">
          <cell r="E127">
            <v>70</v>
          </cell>
        </row>
        <row r="127">
          <cell r="G127" t="str">
            <v>绿</v>
          </cell>
        </row>
        <row r="127">
          <cell r="I127">
            <v>86</v>
          </cell>
        </row>
        <row r="128">
          <cell r="E128">
            <v>70</v>
          </cell>
        </row>
        <row r="128">
          <cell r="G128" t="str">
            <v>蓝</v>
          </cell>
        </row>
        <row r="128">
          <cell r="I128">
            <v>103</v>
          </cell>
        </row>
        <row r="129">
          <cell r="E129">
            <v>70</v>
          </cell>
        </row>
        <row r="129">
          <cell r="G129" t="str">
            <v>紫</v>
          </cell>
        </row>
        <row r="129">
          <cell r="I129">
            <v>124</v>
          </cell>
        </row>
        <row r="130">
          <cell r="E130">
            <v>70</v>
          </cell>
        </row>
        <row r="130">
          <cell r="G130" t="str">
            <v>橙</v>
          </cell>
        </row>
        <row r="130">
          <cell r="I130">
            <v>149</v>
          </cell>
        </row>
        <row r="131">
          <cell r="E131">
            <v>70</v>
          </cell>
        </row>
        <row r="131">
          <cell r="G131" t="str">
            <v>红</v>
          </cell>
        </row>
        <row r="131">
          <cell r="I131">
            <v>184</v>
          </cell>
        </row>
        <row r="132">
          <cell r="E132">
            <v>70</v>
          </cell>
        </row>
        <row r="132">
          <cell r="G132" t="str">
            <v>粉</v>
          </cell>
        </row>
        <row r="132">
          <cell r="I132">
            <v>230</v>
          </cell>
        </row>
        <row r="133">
          <cell r="E133">
            <v>70</v>
          </cell>
        </row>
        <row r="133">
          <cell r="G133" t="str">
            <v>彩</v>
          </cell>
        </row>
        <row r="133">
          <cell r="I133">
            <v>287</v>
          </cell>
        </row>
        <row r="134">
          <cell r="E134">
            <v>80</v>
          </cell>
        </row>
        <row r="134">
          <cell r="G134" t="str">
            <v>白</v>
          </cell>
        </row>
        <row r="134">
          <cell r="I134">
            <v>79</v>
          </cell>
        </row>
        <row r="135">
          <cell r="E135">
            <v>80</v>
          </cell>
        </row>
        <row r="135">
          <cell r="G135" t="str">
            <v>绿</v>
          </cell>
        </row>
        <row r="135">
          <cell r="I135">
            <v>99</v>
          </cell>
        </row>
        <row r="136">
          <cell r="E136">
            <v>80</v>
          </cell>
        </row>
        <row r="136">
          <cell r="G136" t="str">
            <v>蓝</v>
          </cell>
        </row>
        <row r="136">
          <cell r="I136">
            <v>119</v>
          </cell>
        </row>
        <row r="137">
          <cell r="E137">
            <v>80</v>
          </cell>
        </row>
        <row r="137">
          <cell r="G137" t="str">
            <v>紫</v>
          </cell>
        </row>
        <row r="137">
          <cell r="I137">
            <v>142</v>
          </cell>
        </row>
        <row r="138">
          <cell r="E138">
            <v>80</v>
          </cell>
        </row>
        <row r="138">
          <cell r="G138" t="str">
            <v>橙</v>
          </cell>
        </row>
        <row r="138">
          <cell r="I138">
            <v>172</v>
          </cell>
        </row>
        <row r="139">
          <cell r="E139">
            <v>80</v>
          </cell>
        </row>
        <row r="139">
          <cell r="G139" t="str">
            <v>红</v>
          </cell>
        </row>
        <row r="139">
          <cell r="I139">
            <v>211</v>
          </cell>
        </row>
        <row r="140">
          <cell r="E140">
            <v>80</v>
          </cell>
        </row>
        <row r="140">
          <cell r="G140" t="str">
            <v>粉</v>
          </cell>
        </row>
        <row r="140">
          <cell r="I140">
            <v>264</v>
          </cell>
        </row>
        <row r="141">
          <cell r="E141">
            <v>80</v>
          </cell>
        </row>
        <row r="141">
          <cell r="G141" t="str">
            <v>彩</v>
          </cell>
        </row>
        <row r="141">
          <cell r="I141">
            <v>330</v>
          </cell>
        </row>
        <row r="142">
          <cell r="E142">
            <v>90</v>
          </cell>
        </row>
        <row r="142">
          <cell r="G142" t="str">
            <v>白</v>
          </cell>
        </row>
        <row r="142">
          <cell r="I142">
            <v>91</v>
          </cell>
        </row>
        <row r="143">
          <cell r="E143">
            <v>90</v>
          </cell>
        </row>
        <row r="143">
          <cell r="G143" t="str">
            <v>绿</v>
          </cell>
        </row>
        <row r="143">
          <cell r="I143">
            <v>114</v>
          </cell>
        </row>
        <row r="144">
          <cell r="E144">
            <v>90</v>
          </cell>
        </row>
        <row r="144">
          <cell r="G144" t="str">
            <v>蓝</v>
          </cell>
        </row>
        <row r="144">
          <cell r="I144">
            <v>136</v>
          </cell>
        </row>
        <row r="145">
          <cell r="E145">
            <v>90</v>
          </cell>
        </row>
        <row r="145">
          <cell r="G145" t="str">
            <v>紫</v>
          </cell>
        </row>
        <row r="145">
          <cell r="I145">
            <v>164</v>
          </cell>
        </row>
        <row r="146">
          <cell r="E146">
            <v>90</v>
          </cell>
        </row>
        <row r="146">
          <cell r="G146" t="str">
            <v>橙</v>
          </cell>
        </row>
        <row r="146">
          <cell r="I146">
            <v>197</v>
          </cell>
        </row>
        <row r="147">
          <cell r="E147">
            <v>90</v>
          </cell>
        </row>
        <row r="147">
          <cell r="G147" t="str">
            <v>红</v>
          </cell>
        </row>
        <row r="147">
          <cell r="I147">
            <v>243</v>
          </cell>
        </row>
        <row r="148">
          <cell r="E148">
            <v>90</v>
          </cell>
        </row>
        <row r="148">
          <cell r="G148" t="str">
            <v>粉</v>
          </cell>
        </row>
        <row r="148">
          <cell r="I148">
            <v>304</v>
          </cell>
        </row>
        <row r="149">
          <cell r="E149">
            <v>90</v>
          </cell>
        </row>
        <row r="149">
          <cell r="G149" t="str">
            <v>彩</v>
          </cell>
        </row>
        <row r="149">
          <cell r="I149">
            <v>380</v>
          </cell>
        </row>
        <row r="150">
          <cell r="E150">
            <v>100</v>
          </cell>
        </row>
        <row r="150">
          <cell r="G150" t="str">
            <v>白</v>
          </cell>
        </row>
        <row r="150">
          <cell r="I150">
            <v>104</v>
          </cell>
        </row>
        <row r="151">
          <cell r="E151">
            <v>100</v>
          </cell>
        </row>
        <row r="151">
          <cell r="G151" t="str">
            <v>绿</v>
          </cell>
        </row>
        <row r="151">
          <cell r="I151">
            <v>131</v>
          </cell>
        </row>
        <row r="152">
          <cell r="E152">
            <v>100</v>
          </cell>
        </row>
        <row r="152">
          <cell r="G152" t="str">
            <v>蓝</v>
          </cell>
        </row>
        <row r="152">
          <cell r="I152">
            <v>157</v>
          </cell>
        </row>
        <row r="153">
          <cell r="E153">
            <v>100</v>
          </cell>
        </row>
        <row r="153">
          <cell r="G153" t="str">
            <v>紫</v>
          </cell>
        </row>
        <row r="153">
          <cell r="I153">
            <v>188</v>
          </cell>
        </row>
        <row r="154">
          <cell r="E154">
            <v>100</v>
          </cell>
        </row>
        <row r="154">
          <cell r="G154" t="str">
            <v>橙</v>
          </cell>
        </row>
        <row r="154">
          <cell r="I154">
            <v>227</v>
          </cell>
        </row>
        <row r="155">
          <cell r="E155">
            <v>100</v>
          </cell>
        </row>
        <row r="155">
          <cell r="G155" t="str">
            <v>红</v>
          </cell>
        </row>
        <row r="155">
          <cell r="I155">
            <v>279</v>
          </cell>
        </row>
        <row r="156">
          <cell r="E156">
            <v>100</v>
          </cell>
        </row>
        <row r="156">
          <cell r="G156" t="str">
            <v>粉</v>
          </cell>
        </row>
        <row r="156">
          <cell r="I156">
            <v>349</v>
          </cell>
        </row>
        <row r="157">
          <cell r="E157">
            <v>100</v>
          </cell>
        </row>
        <row r="157">
          <cell r="G157" t="str">
            <v>彩</v>
          </cell>
        </row>
        <row r="157">
          <cell r="I157">
            <v>437</v>
          </cell>
        </row>
        <row r="158">
          <cell r="E158">
            <v>110</v>
          </cell>
        </row>
        <row r="158">
          <cell r="G158" t="str">
            <v>白</v>
          </cell>
        </row>
        <row r="158">
          <cell r="I158">
            <v>120</v>
          </cell>
        </row>
        <row r="159">
          <cell r="E159">
            <v>110</v>
          </cell>
        </row>
        <row r="159">
          <cell r="G159" t="str">
            <v>绿</v>
          </cell>
        </row>
        <row r="159">
          <cell r="I159">
            <v>150</v>
          </cell>
        </row>
        <row r="160">
          <cell r="E160">
            <v>110</v>
          </cell>
        </row>
        <row r="160">
          <cell r="G160" t="str">
            <v>蓝</v>
          </cell>
        </row>
        <row r="160">
          <cell r="I160">
            <v>180</v>
          </cell>
        </row>
        <row r="161">
          <cell r="E161">
            <v>110</v>
          </cell>
        </row>
        <row r="161">
          <cell r="G161" t="str">
            <v>紫</v>
          </cell>
        </row>
        <row r="161">
          <cell r="I161">
            <v>217</v>
          </cell>
        </row>
        <row r="162">
          <cell r="E162">
            <v>110</v>
          </cell>
        </row>
        <row r="162">
          <cell r="G162" t="str">
            <v>橙</v>
          </cell>
        </row>
        <row r="162">
          <cell r="I162">
            <v>261</v>
          </cell>
        </row>
        <row r="163">
          <cell r="E163">
            <v>110</v>
          </cell>
        </row>
        <row r="163">
          <cell r="G163" t="str">
            <v>红</v>
          </cell>
        </row>
        <row r="163">
          <cell r="I163">
            <v>321</v>
          </cell>
        </row>
        <row r="164">
          <cell r="E164">
            <v>110</v>
          </cell>
        </row>
        <row r="164">
          <cell r="G164" t="str">
            <v>粉</v>
          </cell>
        </row>
        <row r="164">
          <cell r="I164">
            <v>402</v>
          </cell>
        </row>
        <row r="165">
          <cell r="E165">
            <v>110</v>
          </cell>
        </row>
        <row r="165">
          <cell r="G165" t="str">
            <v>彩</v>
          </cell>
        </row>
        <row r="165">
          <cell r="I165">
            <v>502</v>
          </cell>
        </row>
        <row r="166">
          <cell r="E166">
            <v>120</v>
          </cell>
        </row>
        <row r="166">
          <cell r="G166" t="str">
            <v>白</v>
          </cell>
        </row>
        <row r="166">
          <cell r="I166">
            <v>138</v>
          </cell>
        </row>
        <row r="167">
          <cell r="E167">
            <v>120</v>
          </cell>
        </row>
        <row r="167">
          <cell r="G167" t="str">
            <v>绿</v>
          </cell>
        </row>
        <row r="167">
          <cell r="I167">
            <v>173</v>
          </cell>
        </row>
        <row r="168">
          <cell r="E168">
            <v>120</v>
          </cell>
        </row>
        <row r="168">
          <cell r="G168" t="str">
            <v>蓝</v>
          </cell>
        </row>
        <row r="168">
          <cell r="I168">
            <v>207</v>
          </cell>
        </row>
        <row r="169">
          <cell r="E169">
            <v>120</v>
          </cell>
        </row>
        <row r="169">
          <cell r="G169" t="str">
            <v>紫</v>
          </cell>
        </row>
        <row r="169">
          <cell r="I169">
            <v>249</v>
          </cell>
        </row>
        <row r="170">
          <cell r="E170">
            <v>120</v>
          </cell>
        </row>
        <row r="170">
          <cell r="G170" t="str">
            <v>橙</v>
          </cell>
        </row>
        <row r="170">
          <cell r="I170">
            <v>300</v>
          </cell>
        </row>
        <row r="171">
          <cell r="E171">
            <v>120</v>
          </cell>
        </row>
        <row r="171">
          <cell r="G171" t="str">
            <v>红</v>
          </cell>
        </row>
        <row r="171">
          <cell r="I171">
            <v>369</v>
          </cell>
        </row>
        <row r="172">
          <cell r="E172">
            <v>120</v>
          </cell>
        </row>
        <row r="172">
          <cell r="G172" t="str">
            <v>粉</v>
          </cell>
        </row>
        <row r="172">
          <cell r="I172">
            <v>462</v>
          </cell>
        </row>
        <row r="173">
          <cell r="E173">
            <v>120</v>
          </cell>
        </row>
        <row r="173">
          <cell r="G173" t="str">
            <v>彩</v>
          </cell>
        </row>
        <row r="173">
          <cell r="I173">
            <v>577</v>
          </cell>
        </row>
        <row r="174">
          <cell r="E174">
            <v>130</v>
          </cell>
        </row>
        <row r="174">
          <cell r="G174" t="str">
            <v>白</v>
          </cell>
        </row>
        <row r="174">
          <cell r="I174">
            <v>159</v>
          </cell>
        </row>
        <row r="175">
          <cell r="E175">
            <v>130</v>
          </cell>
        </row>
        <row r="175">
          <cell r="G175" t="str">
            <v>绿</v>
          </cell>
        </row>
        <row r="175">
          <cell r="I175">
            <v>199</v>
          </cell>
        </row>
        <row r="176">
          <cell r="E176">
            <v>130</v>
          </cell>
        </row>
        <row r="176">
          <cell r="G176" t="str">
            <v>蓝</v>
          </cell>
        </row>
        <row r="176">
          <cell r="I176">
            <v>238</v>
          </cell>
        </row>
        <row r="177">
          <cell r="E177">
            <v>130</v>
          </cell>
        </row>
        <row r="177">
          <cell r="G177" t="str">
            <v>紫</v>
          </cell>
        </row>
        <row r="177">
          <cell r="I177">
            <v>286</v>
          </cell>
        </row>
        <row r="178">
          <cell r="E178">
            <v>130</v>
          </cell>
        </row>
        <row r="178">
          <cell r="G178" t="str">
            <v>橙</v>
          </cell>
        </row>
        <row r="178">
          <cell r="I178">
            <v>345</v>
          </cell>
        </row>
        <row r="179">
          <cell r="E179">
            <v>130</v>
          </cell>
        </row>
        <row r="179">
          <cell r="G179" t="str">
            <v>红</v>
          </cell>
        </row>
        <row r="179">
          <cell r="I179">
            <v>424</v>
          </cell>
        </row>
        <row r="180">
          <cell r="E180">
            <v>130</v>
          </cell>
        </row>
        <row r="180">
          <cell r="G180" t="str">
            <v>粉</v>
          </cell>
        </row>
        <row r="180">
          <cell r="I180">
            <v>531</v>
          </cell>
        </row>
        <row r="181">
          <cell r="E181">
            <v>130</v>
          </cell>
        </row>
        <row r="181">
          <cell r="G181" t="str">
            <v>彩</v>
          </cell>
        </row>
        <row r="181">
          <cell r="I181">
            <v>663</v>
          </cell>
        </row>
        <row r="182">
          <cell r="E182">
            <v>140</v>
          </cell>
        </row>
        <row r="182">
          <cell r="G182" t="str">
            <v>白</v>
          </cell>
        </row>
        <row r="182">
          <cell r="I182">
            <v>183</v>
          </cell>
        </row>
        <row r="183">
          <cell r="E183">
            <v>140</v>
          </cell>
        </row>
        <row r="183">
          <cell r="G183" t="str">
            <v>绿</v>
          </cell>
        </row>
        <row r="183">
          <cell r="I183">
            <v>228</v>
          </cell>
        </row>
        <row r="184">
          <cell r="E184">
            <v>140</v>
          </cell>
        </row>
        <row r="184">
          <cell r="G184" t="str">
            <v>蓝</v>
          </cell>
        </row>
        <row r="184">
          <cell r="I184">
            <v>274</v>
          </cell>
        </row>
        <row r="185">
          <cell r="E185">
            <v>140</v>
          </cell>
        </row>
        <row r="185">
          <cell r="G185" t="str">
            <v>紫</v>
          </cell>
        </row>
        <row r="185">
          <cell r="I185">
            <v>329</v>
          </cell>
        </row>
        <row r="186">
          <cell r="E186">
            <v>140</v>
          </cell>
        </row>
        <row r="186">
          <cell r="G186" t="str">
            <v>橙</v>
          </cell>
        </row>
        <row r="186">
          <cell r="I186">
            <v>396</v>
          </cell>
        </row>
        <row r="187">
          <cell r="E187">
            <v>140</v>
          </cell>
        </row>
        <row r="187">
          <cell r="G187" t="str">
            <v>红</v>
          </cell>
        </row>
        <row r="187">
          <cell r="I187">
            <v>488</v>
          </cell>
        </row>
        <row r="188">
          <cell r="E188">
            <v>140</v>
          </cell>
        </row>
        <row r="188">
          <cell r="G188" t="str">
            <v>粉</v>
          </cell>
        </row>
        <row r="188">
          <cell r="I188">
            <v>610</v>
          </cell>
        </row>
        <row r="189">
          <cell r="E189">
            <v>140</v>
          </cell>
        </row>
        <row r="189">
          <cell r="G189" t="str">
            <v>彩</v>
          </cell>
        </row>
        <row r="189">
          <cell r="I189">
            <v>762</v>
          </cell>
        </row>
        <row r="190">
          <cell r="E190">
            <v>150</v>
          </cell>
        </row>
        <row r="190">
          <cell r="G190" t="str">
            <v>白</v>
          </cell>
        </row>
        <row r="190">
          <cell r="I190">
            <v>210</v>
          </cell>
        </row>
        <row r="191">
          <cell r="E191">
            <v>150</v>
          </cell>
        </row>
        <row r="191">
          <cell r="G191" t="str">
            <v>绿</v>
          </cell>
        </row>
        <row r="191">
          <cell r="I191">
            <v>263</v>
          </cell>
        </row>
        <row r="192">
          <cell r="E192">
            <v>150</v>
          </cell>
        </row>
        <row r="192">
          <cell r="G192" t="str">
            <v>蓝</v>
          </cell>
        </row>
        <row r="192">
          <cell r="I192">
            <v>315</v>
          </cell>
        </row>
        <row r="193">
          <cell r="E193">
            <v>150</v>
          </cell>
        </row>
        <row r="193">
          <cell r="G193" t="str">
            <v>紫</v>
          </cell>
        </row>
        <row r="193">
          <cell r="I193">
            <v>378</v>
          </cell>
        </row>
        <row r="194">
          <cell r="E194">
            <v>150</v>
          </cell>
        </row>
        <row r="194">
          <cell r="G194" t="str">
            <v>橙</v>
          </cell>
        </row>
        <row r="194">
          <cell r="I194">
            <v>456</v>
          </cell>
        </row>
        <row r="195">
          <cell r="E195">
            <v>150</v>
          </cell>
        </row>
        <row r="195">
          <cell r="G195" t="str">
            <v>红</v>
          </cell>
        </row>
        <row r="195">
          <cell r="I195">
            <v>561</v>
          </cell>
        </row>
        <row r="196">
          <cell r="E196">
            <v>150</v>
          </cell>
        </row>
        <row r="196">
          <cell r="G196" t="str">
            <v>粉</v>
          </cell>
        </row>
        <row r="196">
          <cell r="I196">
            <v>701</v>
          </cell>
        </row>
        <row r="197">
          <cell r="E197">
            <v>150</v>
          </cell>
        </row>
        <row r="197">
          <cell r="G197" t="str">
            <v>彩</v>
          </cell>
        </row>
        <row r="197">
          <cell r="I197">
            <v>877</v>
          </cell>
        </row>
        <row r="198">
          <cell r="E198">
            <v>160</v>
          </cell>
        </row>
        <row r="198">
          <cell r="G198" t="str">
            <v>白</v>
          </cell>
        </row>
        <row r="198">
          <cell r="I198">
            <v>242</v>
          </cell>
        </row>
        <row r="199">
          <cell r="E199">
            <v>160</v>
          </cell>
        </row>
        <row r="199">
          <cell r="G199" t="str">
            <v>绿</v>
          </cell>
        </row>
        <row r="199">
          <cell r="I199">
            <v>302</v>
          </cell>
        </row>
        <row r="200">
          <cell r="E200">
            <v>160</v>
          </cell>
        </row>
        <row r="200">
          <cell r="G200" t="str">
            <v>蓝</v>
          </cell>
        </row>
        <row r="200">
          <cell r="I200">
            <v>363</v>
          </cell>
        </row>
        <row r="201">
          <cell r="E201">
            <v>160</v>
          </cell>
        </row>
        <row r="201">
          <cell r="G201" t="str">
            <v>紫</v>
          </cell>
        </row>
        <row r="201">
          <cell r="I201">
            <v>435</v>
          </cell>
        </row>
        <row r="202">
          <cell r="E202">
            <v>160</v>
          </cell>
        </row>
        <row r="202">
          <cell r="G202" t="str">
            <v>橙</v>
          </cell>
        </row>
        <row r="202">
          <cell r="I202">
            <v>524</v>
          </cell>
        </row>
        <row r="203">
          <cell r="E203">
            <v>160</v>
          </cell>
        </row>
        <row r="203">
          <cell r="G203" t="str">
            <v>红</v>
          </cell>
        </row>
        <row r="203">
          <cell r="I203">
            <v>645</v>
          </cell>
        </row>
        <row r="204">
          <cell r="E204">
            <v>160</v>
          </cell>
        </row>
        <row r="204">
          <cell r="G204" t="str">
            <v>粉</v>
          </cell>
        </row>
        <row r="204">
          <cell r="I204">
            <v>806</v>
          </cell>
        </row>
        <row r="205">
          <cell r="E205">
            <v>160</v>
          </cell>
        </row>
        <row r="205">
          <cell r="G205" t="str">
            <v>彩</v>
          </cell>
        </row>
        <row r="205">
          <cell r="I205">
            <v>1008</v>
          </cell>
        </row>
        <row r="206">
          <cell r="E206">
            <v>170</v>
          </cell>
        </row>
        <row r="206">
          <cell r="G206" t="str">
            <v>白</v>
          </cell>
        </row>
        <row r="206">
          <cell r="I206">
            <v>278</v>
          </cell>
        </row>
        <row r="207">
          <cell r="E207">
            <v>170</v>
          </cell>
        </row>
        <row r="207">
          <cell r="G207" t="str">
            <v>绿</v>
          </cell>
        </row>
        <row r="207">
          <cell r="I207">
            <v>347</v>
          </cell>
        </row>
        <row r="208">
          <cell r="E208">
            <v>170</v>
          </cell>
        </row>
        <row r="208">
          <cell r="G208" t="str">
            <v>蓝</v>
          </cell>
        </row>
        <row r="208">
          <cell r="I208">
            <v>417</v>
          </cell>
        </row>
        <row r="209">
          <cell r="E209">
            <v>170</v>
          </cell>
        </row>
        <row r="209">
          <cell r="G209" t="str">
            <v>紫</v>
          </cell>
        </row>
        <row r="209">
          <cell r="I209">
            <v>500</v>
          </cell>
        </row>
        <row r="210">
          <cell r="E210">
            <v>170</v>
          </cell>
        </row>
        <row r="210">
          <cell r="G210" t="str">
            <v>橙</v>
          </cell>
        </row>
        <row r="210">
          <cell r="I210">
            <v>602</v>
          </cell>
        </row>
        <row r="211">
          <cell r="E211">
            <v>170</v>
          </cell>
        </row>
        <row r="211">
          <cell r="G211" t="str">
            <v>红</v>
          </cell>
        </row>
        <row r="211">
          <cell r="I211">
            <v>742</v>
          </cell>
        </row>
        <row r="212">
          <cell r="E212">
            <v>170</v>
          </cell>
        </row>
        <row r="212">
          <cell r="G212" t="str">
            <v>粉</v>
          </cell>
        </row>
        <row r="212">
          <cell r="I212">
            <v>927</v>
          </cell>
        </row>
        <row r="213">
          <cell r="E213">
            <v>170</v>
          </cell>
        </row>
        <row r="213">
          <cell r="G213" t="str">
            <v>彩</v>
          </cell>
        </row>
        <row r="213">
          <cell r="I213">
            <v>1159</v>
          </cell>
        </row>
        <row r="214">
          <cell r="E214">
            <v>180</v>
          </cell>
        </row>
        <row r="214">
          <cell r="G214" t="str">
            <v>白</v>
          </cell>
        </row>
        <row r="214">
          <cell r="I214">
            <v>320</v>
          </cell>
        </row>
        <row r="215">
          <cell r="E215">
            <v>180</v>
          </cell>
        </row>
        <row r="215">
          <cell r="G215" t="str">
            <v>绿</v>
          </cell>
        </row>
        <row r="215">
          <cell r="I215">
            <v>400</v>
          </cell>
        </row>
        <row r="216">
          <cell r="E216">
            <v>180</v>
          </cell>
        </row>
        <row r="216">
          <cell r="G216" t="str">
            <v>蓝</v>
          </cell>
        </row>
        <row r="216">
          <cell r="I216">
            <v>480</v>
          </cell>
        </row>
        <row r="217">
          <cell r="E217">
            <v>180</v>
          </cell>
        </row>
        <row r="217">
          <cell r="G217" t="str">
            <v>紫</v>
          </cell>
        </row>
        <row r="217">
          <cell r="I217">
            <v>576</v>
          </cell>
        </row>
        <row r="218">
          <cell r="E218">
            <v>180</v>
          </cell>
        </row>
        <row r="218">
          <cell r="G218" t="str">
            <v>橙</v>
          </cell>
        </row>
        <row r="218">
          <cell r="I218">
            <v>693</v>
          </cell>
        </row>
        <row r="219">
          <cell r="E219">
            <v>180</v>
          </cell>
        </row>
        <row r="219">
          <cell r="G219" t="str">
            <v>红</v>
          </cell>
        </row>
        <row r="219">
          <cell r="I219">
            <v>853</v>
          </cell>
        </row>
        <row r="220">
          <cell r="E220">
            <v>180</v>
          </cell>
        </row>
        <row r="220">
          <cell r="G220" t="str">
            <v>粉</v>
          </cell>
        </row>
        <row r="220">
          <cell r="I220">
            <v>1066</v>
          </cell>
        </row>
        <row r="221">
          <cell r="E221">
            <v>180</v>
          </cell>
        </row>
        <row r="221">
          <cell r="G221" t="str">
            <v>彩</v>
          </cell>
        </row>
        <row r="221">
          <cell r="I221">
            <v>1333</v>
          </cell>
        </row>
        <row r="222">
          <cell r="E222">
            <v>190</v>
          </cell>
        </row>
        <row r="222">
          <cell r="G222" t="str">
            <v>白</v>
          </cell>
        </row>
        <row r="222">
          <cell r="I222">
            <v>368</v>
          </cell>
        </row>
        <row r="223">
          <cell r="E223">
            <v>190</v>
          </cell>
        </row>
        <row r="223">
          <cell r="G223" t="str">
            <v>绿</v>
          </cell>
        </row>
        <row r="223">
          <cell r="I223">
            <v>460</v>
          </cell>
        </row>
        <row r="224">
          <cell r="E224">
            <v>190</v>
          </cell>
        </row>
        <row r="224">
          <cell r="G224" t="str">
            <v>蓝</v>
          </cell>
        </row>
        <row r="224">
          <cell r="I224">
            <v>552</v>
          </cell>
        </row>
        <row r="225">
          <cell r="E225">
            <v>190</v>
          </cell>
        </row>
        <row r="225">
          <cell r="G225" t="str">
            <v>紫</v>
          </cell>
        </row>
        <row r="225">
          <cell r="I225">
            <v>662</v>
          </cell>
        </row>
        <row r="226">
          <cell r="E226">
            <v>190</v>
          </cell>
        </row>
        <row r="226">
          <cell r="G226" t="str">
            <v>橙</v>
          </cell>
        </row>
        <row r="226">
          <cell r="I226">
            <v>797</v>
          </cell>
        </row>
        <row r="227">
          <cell r="E227">
            <v>190</v>
          </cell>
        </row>
        <row r="227">
          <cell r="G227" t="str">
            <v>红</v>
          </cell>
        </row>
        <row r="227">
          <cell r="I227">
            <v>981</v>
          </cell>
        </row>
        <row r="228">
          <cell r="E228">
            <v>190</v>
          </cell>
        </row>
        <row r="228">
          <cell r="G228" t="str">
            <v>粉</v>
          </cell>
        </row>
        <row r="228">
          <cell r="I228">
            <v>1226</v>
          </cell>
        </row>
        <row r="229">
          <cell r="E229">
            <v>190</v>
          </cell>
        </row>
        <row r="229">
          <cell r="G229" t="str">
            <v>彩</v>
          </cell>
        </row>
        <row r="229">
          <cell r="I229">
            <v>1533</v>
          </cell>
        </row>
        <row r="230">
          <cell r="E230">
            <v>200</v>
          </cell>
        </row>
        <row r="230">
          <cell r="G230" t="str">
            <v>白</v>
          </cell>
        </row>
        <row r="230">
          <cell r="I230">
            <v>423</v>
          </cell>
        </row>
        <row r="231">
          <cell r="E231">
            <v>200</v>
          </cell>
        </row>
        <row r="231">
          <cell r="G231" t="str">
            <v>绿</v>
          </cell>
        </row>
        <row r="231">
          <cell r="I231">
            <v>529</v>
          </cell>
        </row>
        <row r="232">
          <cell r="E232">
            <v>200</v>
          </cell>
        </row>
        <row r="232">
          <cell r="G232" t="str">
            <v>蓝</v>
          </cell>
        </row>
        <row r="232">
          <cell r="I232">
            <v>634</v>
          </cell>
        </row>
        <row r="233">
          <cell r="E233">
            <v>200</v>
          </cell>
        </row>
        <row r="233">
          <cell r="G233" t="str">
            <v>紫</v>
          </cell>
        </row>
        <row r="233">
          <cell r="I233">
            <v>761</v>
          </cell>
        </row>
        <row r="234">
          <cell r="E234">
            <v>200</v>
          </cell>
        </row>
        <row r="234">
          <cell r="G234" t="str">
            <v>橙</v>
          </cell>
        </row>
        <row r="234">
          <cell r="I234">
            <v>916</v>
          </cell>
        </row>
        <row r="235">
          <cell r="E235">
            <v>200</v>
          </cell>
        </row>
        <row r="235">
          <cell r="G235" t="str">
            <v>红</v>
          </cell>
        </row>
        <row r="235">
          <cell r="I235">
            <v>1128</v>
          </cell>
        </row>
        <row r="236">
          <cell r="E236">
            <v>200</v>
          </cell>
        </row>
        <row r="236">
          <cell r="G236" t="str">
            <v>粉</v>
          </cell>
        </row>
        <row r="236">
          <cell r="I236">
            <v>1410</v>
          </cell>
        </row>
        <row r="237">
          <cell r="E237">
            <v>200</v>
          </cell>
        </row>
        <row r="237">
          <cell r="G237" t="str">
            <v>彩</v>
          </cell>
        </row>
        <row r="237">
          <cell r="I237">
            <v>1763</v>
          </cell>
        </row>
        <row r="238">
          <cell r="E238">
            <v>210</v>
          </cell>
        </row>
        <row r="238">
          <cell r="G238" t="str">
            <v>白</v>
          </cell>
        </row>
        <row r="238">
          <cell r="I238">
            <v>486</v>
          </cell>
        </row>
        <row r="239">
          <cell r="E239">
            <v>210</v>
          </cell>
        </row>
        <row r="239">
          <cell r="G239" t="str">
            <v>绿</v>
          </cell>
        </row>
        <row r="239">
          <cell r="I239">
            <v>608</v>
          </cell>
        </row>
        <row r="240">
          <cell r="E240">
            <v>210</v>
          </cell>
        </row>
        <row r="240">
          <cell r="G240" t="str">
            <v>蓝</v>
          </cell>
        </row>
        <row r="240">
          <cell r="I240">
            <v>729</v>
          </cell>
        </row>
        <row r="241">
          <cell r="E241">
            <v>210</v>
          </cell>
        </row>
        <row r="241">
          <cell r="G241" t="str">
            <v>紫</v>
          </cell>
        </row>
        <row r="241">
          <cell r="I241">
            <v>875</v>
          </cell>
        </row>
        <row r="242">
          <cell r="E242">
            <v>210</v>
          </cell>
        </row>
        <row r="242">
          <cell r="G242" t="str">
            <v>橙</v>
          </cell>
        </row>
        <row r="242">
          <cell r="I242">
            <v>1054</v>
          </cell>
        </row>
        <row r="243">
          <cell r="E243">
            <v>210</v>
          </cell>
        </row>
        <row r="243">
          <cell r="G243" t="str">
            <v>红</v>
          </cell>
        </row>
        <row r="243">
          <cell r="I243">
            <v>1297</v>
          </cell>
        </row>
        <row r="244">
          <cell r="E244">
            <v>210</v>
          </cell>
        </row>
        <row r="244">
          <cell r="G244" t="str">
            <v>粉</v>
          </cell>
        </row>
        <row r="244">
          <cell r="I244">
            <v>1622</v>
          </cell>
        </row>
        <row r="245">
          <cell r="E245">
            <v>210</v>
          </cell>
        </row>
        <row r="245">
          <cell r="G245" t="str">
            <v>彩</v>
          </cell>
        </row>
        <row r="245">
          <cell r="I245">
            <v>2027</v>
          </cell>
        </row>
        <row r="246">
          <cell r="E246">
            <v>220</v>
          </cell>
        </row>
        <row r="246">
          <cell r="G246" t="str">
            <v>白</v>
          </cell>
        </row>
        <row r="246">
          <cell r="I246">
            <v>559</v>
          </cell>
        </row>
        <row r="247">
          <cell r="E247">
            <v>220</v>
          </cell>
        </row>
        <row r="247">
          <cell r="G247" t="str">
            <v>绿</v>
          </cell>
        </row>
        <row r="247">
          <cell r="I247">
            <v>699</v>
          </cell>
        </row>
        <row r="248">
          <cell r="E248">
            <v>220</v>
          </cell>
        </row>
        <row r="248">
          <cell r="G248" t="str">
            <v>蓝</v>
          </cell>
        </row>
        <row r="248">
          <cell r="I248">
            <v>839</v>
          </cell>
        </row>
        <row r="249">
          <cell r="E249">
            <v>220</v>
          </cell>
        </row>
        <row r="249">
          <cell r="G249" t="str">
            <v>紫</v>
          </cell>
        </row>
        <row r="249">
          <cell r="I249">
            <v>1007</v>
          </cell>
        </row>
        <row r="250">
          <cell r="E250">
            <v>220</v>
          </cell>
        </row>
        <row r="250">
          <cell r="G250" t="str">
            <v>橙</v>
          </cell>
        </row>
        <row r="250">
          <cell r="I250">
            <v>1212</v>
          </cell>
        </row>
        <row r="251">
          <cell r="E251">
            <v>220</v>
          </cell>
        </row>
        <row r="251">
          <cell r="G251" t="str">
            <v>红</v>
          </cell>
        </row>
        <row r="251">
          <cell r="I251">
            <v>1492</v>
          </cell>
        </row>
        <row r="252">
          <cell r="E252">
            <v>220</v>
          </cell>
        </row>
        <row r="252">
          <cell r="G252" t="str">
            <v>粉</v>
          </cell>
        </row>
        <row r="252">
          <cell r="I252">
            <v>1865</v>
          </cell>
        </row>
        <row r="253">
          <cell r="E253">
            <v>220</v>
          </cell>
        </row>
        <row r="253">
          <cell r="G253" t="str">
            <v>彩</v>
          </cell>
        </row>
        <row r="253">
          <cell r="I253">
            <v>2331</v>
          </cell>
        </row>
        <row r="254">
          <cell r="E254">
            <v>230</v>
          </cell>
        </row>
        <row r="254">
          <cell r="G254" t="str">
            <v>白</v>
          </cell>
        </row>
        <row r="254">
          <cell r="I254">
            <v>643</v>
          </cell>
        </row>
        <row r="255">
          <cell r="E255">
            <v>230</v>
          </cell>
        </row>
        <row r="255">
          <cell r="G255" t="str">
            <v>绿</v>
          </cell>
        </row>
        <row r="255">
          <cell r="I255">
            <v>804</v>
          </cell>
        </row>
        <row r="256">
          <cell r="E256">
            <v>230</v>
          </cell>
        </row>
        <row r="256">
          <cell r="G256" t="str">
            <v>蓝</v>
          </cell>
        </row>
        <row r="256">
          <cell r="I256">
            <v>965</v>
          </cell>
        </row>
        <row r="257">
          <cell r="E257">
            <v>230</v>
          </cell>
        </row>
        <row r="257">
          <cell r="G257" t="str">
            <v>紫</v>
          </cell>
        </row>
        <row r="257">
          <cell r="I257">
            <v>1158</v>
          </cell>
        </row>
        <row r="258">
          <cell r="E258">
            <v>230</v>
          </cell>
        </row>
        <row r="258">
          <cell r="G258" t="str">
            <v>橙</v>
          </cell>
        </row>
        <row r="258">
          <cell r="I258">
            <v>1394</v>
          </cell>
        </row>
        <row r="259">
          <cell r="E259">
            <v>230</v>
          </cell>
        </row>
        <row r="259">
          <cell r="G259" t="str">
            <v>红</v>
          </cell>
        </row>
        <row r="259">
          <cell r="I259">
            <v>1715</v>
          </cell>
        </row>
        <row r="260">
          <cell r="E260">
            <v>230</v>
          </cell>
        </row>
        <row r="260">
          <cell r="G260" t="str">
            <v>粉</v>
          </cell>
        </row>
        <row r="260">
          <cell r="I260">
            <v>2144</v>
          </cell>
        </row>
        <row r="261">
          <cell r="E261">
            <v>230</v>
          </cell>
        </row>
        <row r="261">
          <cell r="G261" t="str">
            <v>彩</v>
          </cell>
        </row>
        <row r="261">
          <cell r="I261">
            <v>2680</v>
          </cell>
        </row>
        <row r="262">
          <cell r="E262">
            <v>240</v>
          </cell>
        </row>
        <row r="262">
          <cell r="G262" t="str">
            <v>白</v>
          </cell>
        </row>
        <row r="262">
          <cell r="I262">
            <v>739</v>
          </cell>
        </row>
        <row r="263">
          <cell r="E263">
            <v>240</v>
          </cell>
        </row>
        <row r="263">
          <cell r="G263" t="str">
            <v>绿</v>
          </cell>
        </row>
        <row r="263">
          <cell r="I263">
            <v>924</v>
          </cell>
        </row>
        <row r="264">
          <cell r="E264">
            <v>240</v>
          </cell>
        </row>
        <row r="264">
          <cell r="G264" t="str">
            <v>蓝</v>
          </cell>
        </row>
        <row r="264">
          <cell r="I264">
            <v>1109</v>
          </cell>
        </row>
        <row r="265">
          <cell r="E265">
            <v>240</v>
          </cell>
        </row>
        <row r="265">
          <cell r="G265" t="str">
            <v>紫</v>
          </cell>
        </row>
        <row r="265">
          <cell r="I265">
            <v>1331</v>
          </cell>
        </row>
        <row r="266">
          <cell r="E266">
            <v>240</v>
          </cell>
        </row>
        <row r="266">
          <cell r="G266" t="str">
            <v>橙</v>
          </cell>
        </row>
        <row r="266">
          <cell r="I266">
            <v>1603</v>
          </cell>
        </row>
        <row r="267">
          <cell r="E267">
            <v>240</v>
          </cell>
        </row>
        <row r="267">
          <cell r="G267" t="str">
            <v>红</v>
          </cell>
        </row>
        <row r="267">
          <cell r="I267">
            <v>1973</v>
          </cell>
        </row>
        <row r="268">
          <cell r="E268">
            <v>240</v>
          </cell>
        </row>
        <row r="268">
          <cell r="G268" t="str">
            <v>粉</v>
          </cell>
        </row>
        <row r="268">
          <cell r="I268">
            <v>2466</v>
          </cell>
        </row>
        <row r="269">
          <cell r="E269">
            <v>240</v>
          </cell>
        </row>
        <row r="269">
          <cell r="G269" t="str">
            <v>彩</v>
          </cell>
        </row>
        <row r="269">
          <cell r="I269">
            <v>3082</v>
          </cell>
        </row>
        <row r="270">
          <cell r="E270">
            <v>250</v>
          </cell>
        </row>
        <row r="270">
          <cell r="G270" t="str">
            <v>白</v>
          </cell>
        </row>
        <row r="270">
          <cell r="I270">
            <v>850</v>
          </cell>
        </row>
        <row r="271">
          <cell r="E271">
            <v>250</v>
          </cell>
        </row>
        <row r="271">
          <cell r="G271" t="str">
            <v>绿</v>
          </cell>
        </row>
        <row r="271">
          <cell r="I271">
            <v>1063</v>
          </cell>
        </row>
        <row r="272">
          <cell r="E272">
            <v>250</v>
          </cell>
        </row>
        <row r="272">
          <cell r="G272" t="str">
            <v>蓝</v>
          </cell>
        </row>
        <row r="272">
          <cell r="I272">
            <v>1276</v>
          </cell>
        </row>
        <row r="273">
          <cell r="E273">
            <v>250</v>
          </cell>
        </row>
        <row r="273">
          <cell r="G273" t="str">
            <v>紫</v>
          </cell>
        </row>
        <row r="273">
          <cell r="I273">
            <v>1531</v>
          </cell>
        </row>
        <row r="274">
          <cell r="E274">
            <v>250</v>
          </cell>
        </row>
        <row r="274">
          <cell r="G274" t="str">
            <v>橙</v>
          </cell>
        </row>
        <row r="274">
          <cell r="I274">
            <v>1843</v>
          </cell>
        </row>
        <row r="275">
          <cell r="E275">
            <v>250</v>
          </cell>
        </row>
        <row r="275">
          <cell r="G275" t="str">
            <v>红</v>
          </cell>
        </row>
        <row r="275">
          <cell r="I275">
            <v>2268</v>
          </cell>
        </row>
        <row r="276">
          <cell r="E276">
            <v>250</v>
          </cell>
        </row>
        <row r="276">
          <cell r="G276" t="str">
            <v>粉</v>
          </cell>
        </row>
        <row r="276">
          <cell r="I276">
            <v>2836</v>
          </cell>
        </row>
        <row r="277">
          <cell r="E277">
            <v>250</v>
          </cell>
        </row>
        <row r="277">
          <cell r="G277" t="str">
            <v>彩</v>
          </cell>
        </row>
        <row r="277">
          <cell r="I277">
            <v>3545</v>
          </cell>
        </row>
        <row r="309">
          <cell r="D309" t="str">
            <v>装备等级</v>
          </cell>
        </row>
        <row r="309">
          <cell r="F309" t="str">
            <v>装备品质</v>
          </cell>
        </row>
        <row r="309">
          <cell r="H309" t="str">
            <v>最大攻击</v>
          </cell>
        </row>
        <row r="310">
          <cell r="D310">
            <v>1</v>
          </cell>
        </row>
        <row r="310">
          <cell r="F310" t="str">
            <v>白</v>
          </cell>
        </row>
        <row r="310">
          <cell r="H310" t="str">
            <v/>
          </cell>
        </row>
        <row r="311">
          <cell r="D311">
            <v>1</v>
          </cell>
        </row>
        <row r="311">
          <cell r="F311" t="str">
            <v>绿</v>
          </cell>
        </row>
        <row r="311">
          <cell r="H311" t="str">
            <v/>
          </cell>
        </row>
        <row r="312">
          <cell r="D312">
            <v>1</v>
          </cell>
        </row>
        <row r="312">
          <cell r="F312" t="str">
            <v>蓝</v>
          </cell>
        </row>
        <row r="312">
          <cell r="H312" t="str">
            <v/>
          </cell>
        </row>
        <row r="313">
          <cell r="D313">
            <v>1</v>
          </cell>
        </row>
        <row r="313">
          <cell r="F313" t="str">
            <v>紫</v>
          </cell>
        </row>
        <row r="313">
          <cell r="H313">
            <v>15</v>
          </cell>
        </row>
        <row r="314">
          <cell r="D314">
            <v>1</v>
          </cell>
        </row>
        <row r="314">
          <cell r="F314" t="str">
            <v>橙</v>
          </cell>
        </row>
        <row r="314">
          <cell r="H314">
            <v>15</v>
          </cell>
        </row>
        <row r="315">
          <cell r="D315">
            <v>1</v>
          </cell>
        </row>
        <row r="315">
          <cell r="F315" t="str">
            <v>红</v>
          </cell>
        </row>
        <row r="315">
          <cell r="H315">
            <v>15</v>
          </cell>
        </row>
        <row r="316">
          <cell r="D316">
            <v>1</v>
          </cell>
        </row>
        <row r="316">
          <cell r="F316" t="str">
            <v>粉</v>
          </cell>
        </row>
        <row r="316">
          <cell r="H316">
            <v>15</v>
          </cell>
        </row>
        <row r="317">
          <cell r="D317">
            <v>1</v>
          </cell>
        </row>
        <row r="317">
          <cell r="F317" t="str">
            <v>彩</v>
          </cell>
        </row>
        <row r="317">
          <cell r="H317">
            <v>15</v>
          </cell>
        </row>
        <row r="318">
          <cell r="D318">
            <v>10</v>
          </cell>
        </row>
        <row r="318">
          <cell r="F318" t="str">
            <v>白</v>
          </cell>
        </row>
        <row r="319">
          <cell r="D319">
            <v>10</v>
          </cell>
        </row>
        <row r="319">
          <cell r="F319" t="str">
            <v>绿</v>
          </cell>
        </row>
        <row r="319">
          <cell r="H319" t="str">
            <v/>
          </cell>
        </row>
        <row r="320">
          <cell r="D320">
            <v>10</v>
          </cell>
        </row>
        <row r="320">
          <cell r="F320" t="str">
            <v>蓝</v>
          </cell>
        </row>
        <row r="320">
          <cell r="H320" t="str">
            <v/>
          </cell>
        </row>
        <row r="321">
          <cell r="D321">
            <v>10</v>
          </cell>
        </row>
        <row r="321">
          <cell r="F321" t="str">
            <v>紫</v>
          </cell>
        </row>
        <row r="321">
          <cell r="H321">
            <v>15</v>
          </cell>
        </row>
        <row r="322">
          <cell r="D322">
            <v>10</v>
          </cell>
        </row>
        <row r="322">
          <cell r="F322" t="str">
            <v>橙</v>
          </cell>
        </row>
        <row r="322">
          <cell r="H322">
            <v>15</v>
          </cell>
        </row>
        <row r="323">
          <cell r="D323">
            <v>10</v>
          </cell>
        </row>
        <row r="323">
          <cell r="F323" t="str">
            <v>红</v>
          </cell>
        </row>
        <row r="323">
          <cell r="H323">
            <v>15</v>
          </cell>
        </row>
        <row r="324">
          <cell r="D324">
            <v>10</v>
          </cell>
        </row>
        <row r="324">
          <cell r="F324" t="str">
            <v>粉</v>
          </cell>
        </row>
        <row r="324">
          <cell r="H324">
            <v>15</v>
          </cell>
        </row>
        <row r="325">
          <cell r="D325">
            <v>10</v>
          </cell>
        </row>
        <row r="325">
          <cell r="F325" t="str">
            <v>彩</v>
          </cell>
        </row>
        <row r="325">
          <cell r="H325">
            <v>15</v>
          </cell>
        </row>
        <row r="326">
          <cell r="D326">
            <v>20</v>
          </cell>
        </row>
        <row r="326">
          <cell r="F326" t="str">
            <v>白</v>
          </cell>
        </row>
        <row r="326">
          <cell r="H326" t="str">
            <v/>
          </cell>
        </row>
        <row r="327">
          <cell r="D327">
            <v>20</v>
          </cell>
        </row>
        <row r="327">
          <cell r="F327" t="str">
            <v>绿</v>
          </cell>
        </row>
        <row r="327">
          <cell r="H327" t="str">
            <v/>
          </cell>
        </row>
        <row r="328">
          <cell r="D328">
            <v>20</v>
          </cell>
        </row>
        <row r="328">
          <cell r="F328" t="str">
            <v>蓝</v>
          </cell>
        </row>
        <row r="328">
          <cell r="H328" t="str">
            <v/>
          </cell>
        </row>
        <row r="329">
          <cell r="D329">
            <v>20</v>
          </cell>
        </row>
        <row r="329">
          <cell r="F329" t="str">
            <v>紫</v>
          </cell>
        </row>
        <row r="329">
          <cell r="H329">
            <v>18</v>
          </cell>
        </row>
        <row r="330">
          <cell r="D330">
            <v>20</v>
          </cell>
        </row>
        <row r="330">
          <cell r="F330" t="str">
            <v>橙</v>
          </cell>
        </row>
        <row r="330">
          <cell r="H330">
            <v>18</v>
          </cell>
        </row>
        <row r="331">
          <cell r="D331">
            <v>20</v>
          </cell>
        </row>
        <row r="331">
          <cell r="F331" t="str">
            <v>红</v>
          </cell>
        </row>
        <row r="331">
          <cell r="H331">
            <v>18</v>
          </cell>
        </row>
        <row r="332">
          <cell r="D332">
            <v>20</v>
          </cell>
        </row>
        <row r="332">
          <cell r="F332" t="str">
            <v>粉</v>
          </cell>
        </row>
        <row r="332">
          <cell r="H332">
            <v>18</v>
          </cell>
        </row>
        <row r="333">
          <cell r="D333">
            <v>20</v>
          </cell>
        </row>
        <row r="333">
          <cell r="F333" t="str">
            <v>彩</v>
          </cell>
        </row>
        <row r="333">
          <cell r="H333">
            <v>18</v>
          </cell>
        </row>
        <row r="334">
          <cell r="D334">
            <v>30</v>
          </cell>
        </row>
        <row r="334">
          <cell r="F334" t="str">
            <v>白</v>
          </cell>
        </row>
        <row r="334">
          <cell r="H334" t="str">
            <v/>
          </cell>
        </row>
        <row r="335">
          <cell r="D335">
            <v>30</v>
          </cell>
        </row>
        <row r="335">
          <cell r="F335" t="str">
            <v>绿</v>
          </cell>
        </row>
        <row r="335">
          <cell r="H335" t="str">
            <v/>
          </cell>
        </row>
        <row r="336">
          <cell r="D336">
            <v>30</v>
          </cell>
        </row>
        <row r="336">
          <cell r="F336" t="str">
            <v>蓝</v>
          </cell>
        </row>
        <row r="336">
          <cell r="H336" t="str">
            <v/>
          </cell>
        </row>
        <row r="337">
          <cell r="D337">
            <v>30</v>
          </cell>
        </row>
        <row r="337">
          <cell r="F337" t="str">
            <v>紫</v>
          </cell>
        </row>
        <row r="337">
          <cell r="H337">
            <v>29</v>
          </cell>
        </row>
        <row r="338">
          <cell r="D338">
            <v>30</v>
          </cell>
        </row>
        <row r="338">
          <cell r="F338" t="str">
            <v>橙</v>
          </cell>
        </row>
        <row r="338">
          <cell r="H338">
            <v>29</v>
          </cell>
        </row>
        <row r="339">
          <cell r="D339">
            <v>30</v>
          </cell>
        </row>
        <row r="339">
          <cell r="F339" t="str">
            <v>红</v>
          </cell>
        </row>
        <row r="339">
          <cell r="H339">
            <v>29</v>
          </cell>
        </row>
        <row r="340">
          <cell r="D340">
            <v>30</v>
          </cell>
        </row>
        <row r="340">
          <cell r="F340" t="str">
            <v>粉</v>
          </cell>
        </row>
        <row r="340">
          <cell r="H340">
            <v>29</v>
          </cell>
        </row>
        <row r="341">
          <cell r="D341">
            <v>30</v>
          </cell>
        </row>
        <row r="341">
          <cell r="F341" t="str">
            <v>彩</v>
          </cell>
        </row>
        <row r="341">
          <cell r="H341">
            <v>29</v>
          </cell>
        </row>
        <row r="342">
          <cell r="D342">
            <v>40</v>
          </cell>
        </row>
        <row r="342">
          <cell r="F342" t="str">
            <v>白</v>
          </cell>
        </row>
        <row r="342">
          <cell r="H342" t="str">
            <v/>
          </cell>
        </row>
        <row r="343">
          <cell r="D343">
            <v>40</v>
          </cell>
        </row>
        <row r="343">
          <cell r="F343" t="str">
            <v>绿</v>
          </cell>
        </row>
        <row r="343">
          <cell r="H343" t="str">
            <v/>
          </cell>
        </row>
        <row r="344">
          <cell r="D344">
            <v>40</v>
          </cell>
        </row>
        <row r="344">
          <cell r="F344" t="str">
            <v>蓝</v>
          </cell>
        </row>
        <row r="344">
          <cell r="H344" t="str">
            <v/>
          </cell>
        </row>
        <row r="345">
          <cell r="D345">
            <v>40</v>
          </cell>
        </row>
        <row r="345">
          <cell r="F345" t="str">
            <v>紫</v>
          </cell>
        </row>
        <row r="345">
          <cell r="H345">
            <v>31</v>
          </cell>
        </row>
        <row r="346">
          <cell r="D346">
            <v>40</v>
          </cell>
        </row>
        <row r="346">
          <cell r="F346" t="str">
            <v>橙</v>
          </cell>
        </row>
        <row r="346">
          <cell r="H346">
            <v>31</v>
          </cell>
        </row>
        <row r="347">
          <cell r="D347">
            <v>40</v>
          </cell>
        </row>
        <row r="347">
          <cell r="F347" t="str">
            <v>红</v>
          </cell>
        </row>
        <row r="347">
          <cell r="H347">
            <v>31</v>
          </cell>
        </row>
        <row r="348">
          <cell r="D348">
            <v>40</v>
          </cell>
        </row>
        <row r="348">
          <cell r="F348" t="str">
            <v>粉</v>
          </cell>
        </row>
        <row r="348">
          <cell r="H348">
            <v>31</v>
          </cell>
        </row>
        <row r="349">
          <cell r="D349">
            <v>40</v>
          </cell>
        </row>
        <row r="349">
          <cell r="F349" t="str">
            <v>彩</v>
          </cell>
        </row>
        <row r="349">
          <cell r="H349">
            <v>31</v>
          </cell>
        </row>
        <row r="350">
          <cell r="D350">
            <v>50</v>
          </cell>
        </row>
        <row r="350">
          <cell r="F350" t="str">
            <v>白</v>
          </cell>
        </row>
        <row r="350">
          <cell r="H350" t="str">
            <v/>
          </cell>
        </row>
        <row r="351">
          <cell r="D351">
            <v>50</v>
          </cell>
        </row>
        <row r="351">
          <cell r="F351" t="str">
            <v>绿</v>
          </cell>
        </row>
        <row r="351">
          <cell r="H351" t="str">
            <v/>
          </cell>
        </row>
        <row r="352">
          <cell r="D352">
            <v>50</v>
          </cell>
        </row>
        <row r="352">
          <cell r="F352" t="str">
            <v>蓝</v>
          </cell>
        </row>
        <row r="352">
          <cell r="H352" t="str">
            <v/>
          </cell>
        </row>
        <row r="353">
          <cell r="D353">
            <v>50</v>
          </cell>
        </row>
        <row r="353">
          <cell r="F353" t="str">
            <v>紫</v>
          </cell>
        </row>
        <row r="353">
          <cell r="H353">
            <v>29</v>
          </cell>
        </row>
        <row r="354">
          <cell r="D354">
            <v>50</v>
          </cell>
        </row>
        <row r="354">
          <cell r="F354" t="str">
            <v>橙</v>
          </cell>
        </row>
        <row r="354">
          <cell r="H354">
            <v>29</v>
          </cell>
        </row>
        <row r="355">
          <cell r="D355">
            <v>50</v>
          </cell>
        </row>
        <row r="355">
          <cell r="F355" t="str">
            <v>红</v>
          </cell>
        </row>
        <row r="355">
          <cell r="H355">
            <v>29</v>
          </cell>
        </row>
        <row r="356">
          <cell r="D356">
            <v>50</v>
          </cell>
        </row>
        <row r="356">
          <cell r="F356" t="str">
            <v>粉</v>
          </cell>
        </row>
        <row r="356">
          <cell r="H356">
            <v>29</v>
          </cell>
        </row>
        <row r="357">
          <cell r="D357">
            <v>50</v>
          </cell>
        </row>
        <row r="357">
          <cell r="F357" t="str">
            <v>彩</v>
          </cell>
        </row>
        <row r="357">
          <cell r="H357">
            <v>29</v>
          </cell>
        </row>
        <row r="358">
          <cell r="D358">
            <v>60</v>
          </cell>
        </row>
        <row r="358">
          <cell r="F358" t="str">
            <v>白</v>
          </cell>
        </row>
        <row r="358">
          <cell r="H358" t="str">
            <v/>
          </cell>
        </row>
        <row r="359">
          <cell r="D359">
            <v>60</v>
          </cell>
        </row>
        <row r="359">
          <cell r="F359" t="str">
            <v>绿</v>
          </cell>
        </row>
        <row r="359">
          <cell r="H359" t="str">
            <v/>
          </cell>
        </row>
        <row r="360">
          <cell r="D360">
            <v>60</v>
          </cell>
        </row>
        <row r="360">
          <cell r="F360" t="str">
            <v>蓝</v>
          </cell>
        </row>
        <row r="360">
          <cell r="H360" t="str">
            <v/>
          </cell>
        </row>
        <row r="361">
          <cell r="D361">
            <v>60</v>
          </cell>
        </row>
        <row r="361">
          <cell r="F361" t="str">
            <v>紫</v>
          </cell>
        </row>
        <row r="361">
          <cell r="H361">
            <v>40</v>
          </cell>
        </row>
        <row r="362">
          <cell r="D362">
            <v>60</v>
          </cell>
        </row>
        <row r="362">
          <cell r="F362" t="str">
            <v>橙</v>
          </cell>
        </row>
        <row r="362">
          <cell r="H362">
            <v>40</v>
          </cell>
        </row>
        <row r="363">
          <cell r="D363">
            <v>60</v>
          </cell>
        </row>
        <row r="363">
          <cell r="F363" t="str">
            <v>红</v>
          </cell>
        </row>
        <row r="363">
          <cell r="H363">
            <v>40</v>
          </cell>
        </row>
        <row r="364">
          <cell r="D364">
            <v>60</v>
          </cell>
        </row>
        <row r="364">
          <cell r="F364" t="str">
            <v>粉</v>
          </cell>
        </row>
        <row r="364">
          <cell r="H364">
            <v>40</v>
          </cell>
        </row>
        <row r="365">
          <cell r="D365">
            <v>60</v>
          </cell>
        </row>
        <row r="365">
          <cell r="F365" t="str">
            <v>彩</v>
          </cell>
        </row>
        <row r="365">
          <cell r="H365">
            <v>40</v>
          </cell>
        </row>
        <row r="366">
          <cell r="D366">
            <v>70</v>
          </cell>
        </row>
        <row r="366">
          <cell r="F366" t="str">
            <v>白</v>
          </cell>
        </row>
        <row r="366">
          <cell r="H366" t="str">
            <v/>
          </cell>
        </row>
        <row r="367">
          <cell r="D367">
            <v>70</v>
          </cell>
        </row>
        <row r="367">
          <cell r="F367" t="str">
            <v>绿</v>
          </cell>
        </row>
        <row r="367">
          <cell r="H367" t="str">
            <v/>
          </cell>
        </row>
        <row r="368">
          <cell r="D368">
            <v>70</v>
          </cell>
        </row>
        <row r="368">
          <cell r="F368" t="str">
            <v>蓝</v>
          </cell>
        </row>
        <row r="368">
          <cell r="H368" t="str">
            <v/>
          </cell>
        </row>
        <row r="369">
          <cell r="D369">
            <v>70</v>
          </cell>
        </row>
        <row r="369">
          <cell r="F369" t="str">
            <v>紫</v>
          </cell>
        </row>
        <row r="369">
          <cell r="H369">
            <v>30</v>
          </cell>
        </row>
        <row r="380">
          <cell r="D380">
            <v>70</v>
          </cell>
        </row>
        <row r="380">
          <cell r="F380" t="str">
            <v>橙</v>
          </cell>
        </row>
        <row r="380">
          <cell r="H380">
            <v>30</v>
          </cell>
        </row>
        <row r="381">
          <cell r="D381">
            <v>70</v>
          </cell>
        </row>
        <row r="381">
          <cell r="F381" t="str">
            <v>红</v>
          </cell>
        </row>
        <row r="381">
          <cell r="H381">
            <v>30</v>
          </cell>
        </row>
        <row r="382">
          <cell r="D382">
            <v>70</v>
          </cell>
        </row>
        <row r="382">
          <cell r="F382" t="str">
            <v>粉</v>
          </cell>
        </row>
        <row r="382">
          <cell r="H382">
            <v>30</v>
          </cell>
        </row>
        <row r="383">
          <cell r="D383">
            <v>70</v>
          </cell>
        </row>
        <row r="383">
          <cell r="F383" t="str">
            <v>彩</v>
          </cell>
        </row>
        <row r="383">
          <cell r="H383">
            <v>30</v>
          </cell>
        </row>
        <row r="384">
          <cell r="D384">
            <v>80</v>
          </cell>
        </row>
        <row r="384">
          <cell r="F384" t="str">
            <v>白</v>
          </cell>
        </row>
        <row r="384">
          <cell r="H384" t="str">
            <v/>
          </cell>
        </row>
        <row r="385">
          <cell r="D385">
            <v>80</v>
          </cell>
        </row>
        <row r="385">
          <cell r="F385" t="str">
            <v>绿</v>
          </cell>
        </row>
        <row r="385">
          <cell r="H385" t="str">
            <v/>
          </cell>
        </row>
        <row r="386">
          <cell r="D386">
            <v>80</v>
          </cell>
        </row>
        <row r="386">
          <cell r="F386" t="str">
            <v>蓝</v>
          </cell>
        </row>
        <row r="386">
          <cell r="H386" t="str">
            <v/>
          </cell>
        </row>
        <row r="387">
          <cell r="D387">
            <v>80</v>
          </cell>
        </row>
        <row r="387">
          <cell r="F387" t="str">
            <v>紫</v>
          </cell>
        </row>
        <row r="387">
          <cell r="H387">
            <v>30</v>
          </cell>
        </row>
        <row r="388">
          <cell r="D388">
            <v>80</v>
          </cell>
        </row>
        <row r="388">
          <cell r="F388" t="str">
            <v>橙</v>
          </cell>
        </row>
        <row r="388">
          <cell r="H388">
            <v>30</v>
          </cell>
        </row>
        <row r="389">
          <cell r="D389">
            <v>80</v>
          </cell>
        </row>
        <row r="389">
          <cell r="F389" t="str">
            <v>红</v>
          </cell>
        </row>
        <row r="389">
          <cell r="H389">
            <v>30</v>
          </cell>
        </row>
        <row r="390">
          <cell r="D390">
            <v>80</v>
          </cell>
        </row>
        <row r="390">
          <cell r="F390" t="str">
            <v>粉</v>
          </cell>
        </row>
        <row r="390">
          <cell r="H390">
            <v>30</v>
          </cell>
        </row>
        <row r="391">
          <cell r="D391">
            <v>80</v>
          </cell>
        </row>
        <row r="391">
          <cell r="F391" t="str">
            <v>彩</v>
          </cell>
        </row>
        <row r="391">
          <cell r="H391">
            <v>30</v>
          </cell>
        </row>
        <row r="392">
          <cell r="D392">
            <v>90</v>
          </cell>
        </row>
        <row r="392">
          <cell r="F392" t="str">
            <v>白</v>
          </cell>
        </row>
        <row r="392">
          <cell r="H392" t="str">
            <v/>
          </cell>
        </row>
        <row r="393">
          <cell r="D393">
            <v>90</v>
          </cell>
        </row>
        <row r="393">
          <cell r="F393" t="str">
            <v>绿</v>
          </cell>
        </row>
        <row r="393">
          <cell r="H393" t="str">
            <v/>
          </cell>
        </row>
        <row r="394">
          <cell r="D394">
            <v>90</v>
          </cell>
        </row>
        <row r="394">
          <cell r="F394" t="str">
            <v>蓝</v>
          </cell>
        </row>
        <row r="394">
          <cell r="H394" t="str">
            <v/>
          </cell>
        </row>
        <row r="400">
          <cell r="D400">
            <v>90</v>
          </cell>
        </row>
        <row r="400">
          <cell r="F400" t="str">
            <v>紫</v>
          </cell>
        </row>
        <row r="400">
          <cell r="H400">
            <v>37</v>
          </cell>
        </row>
        <row r="401">
          <cell r="D401">
            <v>90</v>
          </cell>
        </row>
        <row r="401">
          <cell r="F401" t="str">
            <v>橙</v>
          </cell>
        </row>
        <row r="401">
          <cell r="H401">
            <v>37</v>
          </cell>
        </row>
        <row r="402">
          <cell r="D402">
            <v>90</v>
          </cell>
        </row>
        <row r="402">
          <cell r="F402" t="str">
            <v>红</v>
          </cell>
        </row>
        <row r="402">
          <cell r="H402">
            <v>37</v>
          </cell>
        </row>
        <row r="403">
          <cell r="D403">
            <v>90</v>
          </cell>
        </row>
        <row r="403">
          <cell r="F403" t="str">
            <v>粉</v>
          </cell>
        </row>
        <row r="403">
          <cell r="H403">
            <v>37</v>
          </cell>
        </row>
        <row r="404">
          <cell r="D404">
            <v>90</v>
          </cell>
        </row>
        <row r="404">
          <cell r="F404" t="str">
            <v>彩</v>
          </cell>
        </row>
        <row r="404">
          <cell r="H404">
            <v>37</v>
          </cell>
        </row>
        <row r="405">
          <cell r="D405">
            <v>100</v>
          </cell>
        </row>
        <row r="405">
          <cell r="F405" t="str">
            <v>白</v>
          </cell>
        </row>
        <row r="405">
          <cell r="H405" t="str">
            <v/>
          </cell>
        </row>
        <row r="406">
          <cell r="D406">
            <v>100</v>
          </cell>
        </row>
        <row r="406">
          <cell r="F406" t="str">
            <v>绿</v>
          </cell>
        </row>
        <row r="406">
          <cell r="H406" t="str">
            <v/>
          </cell>
        </row>
        <row r="407">
          <cell r="D407">
            <v>100</v>
          </cell>
        </row>
        <row r="407">
          <cell r="F407" t="str">
            <v>蓝</v>
          </cell>
        </row>
        <row r="407">
          <cell r="H407" t="str">
            <v/>
          </cell>
        </row>
        <row r="408">
          <cell r="D408">
            <v>100</v>
          </cell>
        </row>
        <row r="408">
          <cell r="F408" t="str">
            <v>紫</v>
          </cell>
        </row>
        <row r="408">
          <cell r="H408">
            <v>37</v>
          </cell>
        </row>
        <row r="409">
          <cell r="D409">
            <v>100</v>
          </cell>
        </row>
        <row r="409">
          <cell r="F409" t="str">
            <v>橙</v>
          </cell>
        </row>
        <row r="409">
          <cell r="H409">
            <v>37</v>
          </cell>
        </row>
        <row r="410">
          <cell r="D410">
            <v>100</v>
          </cell>
        </row>
        <row r="410">
          <cell r="F410" t="str">
            <v>红</v>
          </cell>
        </row>
        <row r="410">
          <cell r="H410">
            <v>37</v>
          </cell>
        </row>
        <row r="411">
          <cell r="D411">
            <v>100</v>
          </cell>
        </row>
        <row r="411">
          <cell r="F411" t="str">
            <v>粉</v>
          </cell>
        </row>
        <row r="411">
          <cell r="H411">
            <v>37</v>
          </cell>
        </row>
        <row r="412">
          <cell r="D412">
            <v>100</v>
          </cell>
        </row>
        <row r="412">
          <cell r="F412" t="str">
            <v>彩</v>
          </cell>
        </row>
        <row r="412">
          <cell r="H412">
            <v>37</v>
          </cell>
        </row>
        <row r="413">
          <cell r="D413">
            <v>110</v>
          </cell>
        </row>
        <row r="413">
          <cell r="F413" t="str">
            <v>白</v>
          </cell>
        </row>
        <row r="413">
          <cell r="H413" t="str">
            <v/>
          </cell>
        </row>
        <row r="414">
          <cell r="D414">
            <v>110</v>
          </cell>
        </row>
        <row r="414">
          <cell r="F414" t="str">
            <v>绿</v>
          </cell>
        </row>
        <row r="414">
          <cell r="H414" t="str">
            <v/>
          </cell>
        </row>
        <row r="415">
          <cell r="D415">
            <v>110</v>
          </cell>
        </row>
        <row r="415">
          <cell r="F415" t="str">
            <v>蓝</v>
          </cell>
        </row>
        <row r="415">
          <cell r="H415" t="str">
            <v/>
          </cell>
        </row>
        <row r="416">
          <cell r="D416">
            <v>110</v>
          </cell>
        </row>
        <row r="416">
          <cell r="F416" t="str">
            <v>紫</v>
          </cell>
        </row>
        <row r="416">
          <cell r="H416">
            <v>37</v>
          </cell>
        </row>
        <row r="417">
          <cell r="D417">
            <v>110</v>
          </cell>
        </row>
        <row r="417">
          <cell r="F417" t="str">
            <v>橙</v>
          </cell>
        </row>
        <row r="417">
          <cell r="H417">
            <v>37</v>
          </cell>
        </row>
        <row r="418">
          <cell r="D418">
            <v>110</v>
          </cell>
        </row>
        <row r="418">
          <cell r="F418" t="str">
            <v>红</v>
          </cell>
        </row>
        <row r="418">
          <cell r="H418">
            <v>37</v>
          </cell>
        </row>
        <row r="419">
          <cell r="D419">
            <v>110</v>
          </cell>
        </row>
        <row r="419">
          <cell r="F419" t="str">
            <v>粉</v>
          </cell>
        </row>
        <row r="419">
          <cell r="H419">
            <v>37</v>
          </cell>
        </row>
        <row r="425">
          <cell r="D425">
            <v>110</v>
          </cell>
        </row>
        <row r="425">
          <cell r="F425" t="str">
            <v>彩</v>
          </cell>
        </row>
        <row r="425">
          <cell r="H425">
            <v>37</v>
          </cell>
        </row>
        <row r="426">
          <cell r="D426">
            <v>120</v>
          </cell>
        </row>
        <row r="426">
          <cell r="F426" t="str">
            <v>白</v>
          </cell>
        </row>
        <row r="426">
          <cell r="H426" t="str">
            <v/>
          </cell>
        </row>
        <row r="427">
          <cell r="D427">
            <v>120</v>
          </cell>
        </row>
        <row r="427">
          <cell r="F427" t="str">
            <v>绿</v>
          </cell>
        </row>
        <row r="427">
          <cell r="H427" t="str">
            <v/>
          </cell>
        </row>
        <row r="428">
          <cell r="D428">
            <v>120</v>
          </cell>
        </row>
        <row r="428">
          <cell r="F428" t="str">
            <v>蓝</v>
          </cell>
        </row>
        <row r="428">
          <cell r="H428" t="str">
            <v/>
          </cell>
        </row>
        <row r="429">
          <cell r="D429">
            <v>120</v>
          </cell>
        </row>
        <row r="429">
          <cell r="F429" t="str">
            <v>紫</v>
          </cell>
        </row>
        <row r="429">
          <cell r="H429">
            <v>44</v>
          </cell>
        </row>
        <row r="430">
          <cell r="D430">
            <v>120</v>
          </cell>
        </row>
        <row r="430">
          <cell r="F430" t="str">
            <v>橙</v>
          </cell>
        </row>
        <row r="430">
          <cell r="H430">
            <v>44</v>
          </cell>
        </row>
        <row r="431">
          <cell r="D431">
            <v>120</v>
          </cell>
        </row>
        <row r="431">
          <cell r="F431" t="str">
            <v>红</v>
          </cell>
        </row>
        <row r="431">
          <cell r="H431">
            <v>44</v>
          </cell>
        </row>
        <row r="432">
          <cell r="D432">
            <v>120</v>
          </cell>
        </row>
        <row r="432">
          <cell r="F432" t="str">
            <v>粉</v>
          </cell>
        </row>
        <row r="432">
          <cell r="H432">
            <v>44</v>
          </cell>
        </row>
        <row r="433">
          <cell r="D433">
            <v>120</v>
          </cell>
        </row>
        <row r="433">
          <cell r="F433" t="str">
            <v>彩</v>
          </cell>
        </row>
        <row r="433">
          <cell r="H433">
            <v>44</v>
          </cell>
        </row>
        <row r="434">
          <cell r="D434">
            <v>130</v>
          </cell>
        </row>
        <row r="434">
          <cell r="F434" t="str">
            <v>白</v>
          </cell>
        </row>
        <row r="434">
          <cell r="H434" t="str">
            <v/>
          </cell>
        </row>
        <row r="435">
          <cell r="D435">
            <v>130</v>
          </cell>
        </row>
        <row r="435">
          <cell r="F435" t="str">
            <v>绿</v>
          </cell>
        </row>
        <row r="435">
          <cell r="H435" t="str">
            <v/>
          </cell>
        </row>
        <row r="436">
          <cell r="D436">
            <v>130</v>
          </cell>
        </row>
        <row r="436">
          <cell r="F436" t="str">
            <v>蓝</v>
          </cell>
        </row>
        <row r="436">
          <cell r="H436" t="str">
            <v/>
          </cell>
        </row>
        <row r="437">
          <cell r="D437">
            <v>130</v>
          </cell>
        </row>
        <row r="437">
          <cell r="F437" t="str">
            <v>紫</v>
          </cell>
        </row>
        <row r="437">
          <cell r="H437">
            <v>44</v>
          </cell>
        </row>
        <row r="438">
          <cell r="D438">
            <v>130</v>
          </cell>
        </row>
        <row r="438">
          <cell r="F438" t="str">
            <v>橙</v>
          </cell>
        </row>
        <row r="438">
          <cell r="H438">
            <v>44</v>
          </cell>
        </row>
        <row r="439">
          <cell r="D439">
            <v>130</v>
          </cell>
        </row>
        <row r="439">
          <cell r="F439" t="str">
            <v>红</v>
          </cell>
        </row>
        <row r="439">
          <cell r="H439">
            <v>44</v>
          </cell>
        </row>
        <row r="440">
          <cell r="D440">
            <v>130</v>
          </cell>
        </row>
        <row r="440">
          <cell r="F440" t="str">
            <v>粉</v>
          </cell>
        </row>
        <row r="440">
          <cell r="H440">
            <v>44</v>
          </cell>
        </row>
        <row r="441">
          <cell r="D441">
            <v>130</v>
          </cell>
        </row>
        <row r="441">
          <cell r="F441" t="str">
            <v>彩</v>
          </cell>
        </row>
        <row r="441">
          <cell r="H441">
            <v>44</v>
          </cell>
        </row>
        <row r="442">
          <cell r="D442">
            <v>140</v>
          </cell>
        </row>
        <row r="442">
          <cell r="F442" t="str">
            <v>白</v>
          </cell>
        </row>
        <row r="442">
          <cell r="H442" t="str">
            <v/>
          </cell>
        </row>
        <row r="443">
          <cell r="D443">
            <v>140</v>
          </cell>
        </row>
        <row r="443">
          <cell r="F443" t="str">
            <v>绿</v>
          </cell>
        </row>
        <row r="443">
          <cell r="H443" t="str">
            <v/>
          </cell>
        </row>
        <row r="444">
          <cell r="D444">
            <v>140</v>
          </cell>
        </row>
        <row r="444">
          <cell r="F444" t="str">
            <v>蓝</v>
          </cell>
        </row>
        <row r="444">
          <cell r="H444" t="str">
            <v/>
          </cell>
        </row>
        <row r="450">
          <cell r="D450">
            <v>140</v>
          </cell>
        </row>
        <row r="450">
          <cell r="F450" t="str">
            <v>紫</v>
          </cell>
        </row>
        <row r="450">
          <cell r="H450">
            <v>45</v>
          </cell>
        </row>
        <row r="451">
          <cell r="D451">
            <v>140</v>
          </cell>
        </row>
        <row r="451">
          <cell r="F451" t="str">
            <v>橙</v>
          </cell>
        </row>
        <row r="451">
          <cell r="H451">
            <v>45</v>
          </cell>
        </row>
        <row r="452">
          <cell r="D452">
            <v>140</v>
          </cell>
        </row>
        <row r="452">
          <cell r="F452" t="str">
            <v>红</v>
          </cell>
        </row>
        <row r="452">
          <cell r="H452">
            <v>45</v>
          </cell>
        </row>
        <row r="453">
          <cell r="D453">
            <v>140</v>
          </cell>
        </row>
        <row r="453">
          <cell r="F453" t="str">
            <v>粉</v>
          </cell>
        </row>
        <row r="453">
          <cell r="H453">
            <v>45</v>
          </cell>
        </row>
        <row r="454">
          <cell r="D454">
            <v>140</v>
          </cell>
        </row>
        <row r="454">
          <cell r="F454" t="str">
            <v>彩</v>
          </cell>
        </row>
        <row r="454">
          <cell r="H454">
            <v>45</v>
          </cell>
        </row>
        <row r="455">
          <cell r="D455">
            <v>150</v>
          </cell>
        </row>
        <row r="455">
          <cell r="F455" t="str">
            <v>白</v>
          </cell>
        </row>
        <row r="455">
          <cell r="H455" t="str">
            <v/>
          </cell>
        </row>
        <row r="456">
          <cell r="D456">
            <v>150</v>
          </cell>
        </row>
        <row r="456">
          <cell r="F456" t="str">
            <v>绿</v>
          </cell>
        </row>
        <row r="456">
          <cell r="H456" t="str">
            <v/>
          </cell>
        </row>
        <row r="457">
          <cell r="D457">
            <v>150</v>
          </cell>
        </row>
        <row r="457">
          <cell r="F457" t="str">
            <v>蓝</v>
          </cell>
        </row>
        <row r="457">
          <cell r="H457" t="str">
            <v/>
          </cell>
        </row>
        <row r="458">
          <cell r="D458">
            <v>150</v>
          </cell>
        </row>
        <row r="458">
          <cell r="F458" t="str">
            <v>紫</v>
          </cell>
        </row>
        <row r="458">
          <cell r="H458">
            <v>45</v>
          </cell>
        </row>
        <row r="459">
          <cell r="D459">
            <v>150</v>
          </cell>
        </row>
        <row r="459">
          <cell r="F459" t="str">
            <v>橙</v>
          </cell>
        </row>
        <row r="459">
          <cell r="H459">
            <v>45</v>
          </cell>
        </row>
        <row r="460">
          <cell r="D460">
            <v>150</v>
          </cell>
        </row>
        <row r="460">
          <cell r="F460" t="str">
            <v>红</v>
          </cell>
        </row>
        <row r="460">
          <cell r="H460">
            <v>45</v>
          </cell>
        </row>
        <row r="461">
          <cell r="D461">
            <v>150</v>
          </cell>
        </row>
        <row r="461">
          <cell r="F461" t="str">
            <v>粉</v>
          </cell>
        </row>
        <row r="461">
          <cell r="H461">
            <v>45</v>
          </cell>
        </row>
        <row r="462">
          <cell r="D462">
            <v>150</v>
          </cell>
        </row>
        <row r="462">
          <cell r="F462" t="str">
            <v>彩</v>
          </cell>
        </row>
        <row r="462">
          <cell r="H462">
            <v>45</v>
          </cell>
        </row>
        <row r="463">
          <cell r="D463">
            <v>160</v>
          </cell>
        </row>
        <row r="463">
          <cell r="F463" t="str">
            <v>白</v>
          </cell>
        </row>
        <row r="463">
          <cell r="H463" t="str">
            <v/>
          </cell>
        </row>
        <row r="464">
          <cell r="D464">
            <v>160</v>
          </cell>
        </row>
        <row r="464">
          <cell r="F464" t="str">
            <v>绿</v>
          </cell>
        </row>
        <row r="464">
          <cell r="H464" t="str">
            <v/>
          </cell>
        </row>
        <row r="465">
          <cell r="D465">
            <v>160</v>
          </cell>
        </row>
        <row r="465">
          <cell r="F465" t="str">
            <v>蓝</v>
          </cell>
        </row>
        <row r="465">
          <cell r="H465" t="str">
            <v/>
          </cell>
        </row>
        <row r="466">
          <cell r="D466">
            <v>160</v>
          </cell>
        </row>
        <row r="466">
          <cell r="F466" t="str">
            <v>紫</v>
          </cell>
        </row>
        <row r="466">
          <cell r="H466" t="e">
            <v>#N/A</v>
          </cell>
        </row>
        <row r="467">
          <cell r="D467">
            <v>160</v>
          </cell>
        </row>
        <row r="467">
          <cell r="F467" t="str">
            <v>橙</v>
          </cell>
        </row>
        <row r="467">
          <cell r="H467" t="e">
            <v>#N/A</v>
          </cell>
        </row>
        <row r="468">
          <cell r="D468">
            <v>160</v>
          </cell>
        </row>
        <row r="468">
          <cell r="F468" t="str">
            <v>红</v>
          </cell>
        </row>
        <row r="468">
          <cell r="H468" t="e">
            <v>#N/A</v>
          </cell>
        </row>
        <row r="469">
          <cell r="D469">
            <v>160</v>
          </cell>
        </row>
        <row r="469">
          <cell r="F469" t="str">
            <v>粉</v>
          </cell>
        </row>
        <row r="469">
          <cell r="H469" t="e">
            <v>#N/A</v>
          </cell>
        </row>
        <row r="470">
          <cell r="D470">
            <v>160</v>
          </cell>
        </row>
        <row r="470">
          <cell r="F470" t="str">
            <v>彩</v>
          </cell>
        </row>
        <row r="470">
          <cell r="H470" t="e">
            <v>#N/A</v>
          </cell>
        </row>
        <row r="471">
          <cell r="D471">
            <v>170</v>
          </cell>
        </row>
        <row r="471">
          <cell r="F471" t="str">
            <v>白</v>
          </cell>
        </row>
        <row r="471">
          <cell r="H471" t="str">
            <v/>
          </cell>
        </row>
        <row r="472">
          <cell r="D472">
            <v>170</v>
          </cell>
        </row>
        <row r="472">
          <cell r="F472" t="str">
            <v>绿</v>
          </cell>
        </row>
        <row r="472">
          <cell r="H472" t="str">
            <v/>
          </cell>
        </row>
        <row r="473">
          <cell r="D473">
            <v>170</v>
          </cell>
        </row>
        <row r="473">
          <cell r="F473" t="str">
            <v>蓝</v>
          </cell>
        </row>
        <row r="473">
          <cell r="H473" t="str">
            <v/>
          </cell>
        </row>
        <row r="474">
          <cell r="D474">
            <v>170</v>
          </cell>
        </row>
        <row r="474">
          <cell r="F474" t="str">
            <v>紫</v>
          </cell>
        </row>
        <row r="474">
          <cell r="H474">
            <v>44</v>
          </cell>
        </row>
        <row r="475">
          <cell r="D475">
            <v>170</v>
          </cell>
        </row>
        <row r="475">
          <cell r="F475" t="str">
            <v>橙</v>
          </cell>
        </row>
        <row r="475">
          <cell r="H475">
            <v>44</v>
          </cell>
        </row>
        <row r="476">
          <cell r="D476">
            <v>170</v>
          </cell>
        </row>
        <row r="476">
          <cell r="F476" t="str">
            <v>红</v>
          </cell>
        </row>
        <row r="476">
          <cell r="H476">
            <v>44</v>
          </cell>
        </row>
        <row r="477">
          <cell r="D477">
            <v>170</v>
          </cell>
        </row>
        <row r="477">
          <cell r="F477" t="str">
            <v>粉</v>
          </cell>
        </row>
        <row r="477">
          <cell r="H477">
            <v>44</v>
          </cell>
        </row>
        <row r="478">
          <cell r="D478">
            <v>170</v>
          </cell>
        </row>
        <row r="478">
          <cell r="F478" t="str">
            <v>彩</v>
          </cell>
        </row>
        <row r="478">
          <cell r="H478">
            <v>44</v>
          </cell>
        </row>
        <row r="479">
          <cell r="D479">
            <v>180</v>
          </cell>
        </row>
        <row r="479">
          <cell r="F479" t="str">
            <v>白</v>
          </cell>
        </row>
        <row r="479">
          <cell r="H479" t="str">
            <v/>
          </cell>
        </row>
        <row r="480">
          <cell r="D480">
            <v>180</v>
          </cell>
        </row>
        <row r="480">
          <cell r="F480" t="str">
            <v>绿</v>
          </cell>
        </row>
        <row r="480">
          <cell r="H480" t="str">
            <v/>
          </cell>
        </row>
        <row r="481">
          <cell r="D481">
            <v>180</v>
          </cell>
        </row>
        <row r="481">
          <cell r="F481" t="str">
            <v>蓝</v>
          </cell>
        </row>
        <row r="481">
          <cell r="H481" t="str">
            <v/>
          </cell>
        </row>
        <row r="482">
          <cell r="D482">
            <v>180</v>
          </cell>
        </row>
        <row r="482">
          <cell r="F482" t="str">
            <v>紫</v>
          </cell>
        </row>
        <row r="482">
          <cell r="H482">
            <v>48</v>
          </cell>
        </row>
        <row r="483">
          <cell r="D483">
            <v>180</v>
          </cell>
        </row>
        <row r="483">
          <cell r="F483" t="str">
            <v>橙</v>
          </cell>
        </row>
        <row r="483">
          <cell r="H483">
            <v>48</v>
          </cell>
        </row>
        <row r="484">
          <cell r="D484">
            <v>180</v>
          </cell>
        </row>
        <row r="484">
          <cell r="F484" t="str">
            <v>红</v>
          </cell>
        </row>
        <row r="484">
          <cell r="H484">
            <v>48</v>
          </cell>
        </row>
        <row r="485">
          <cell r="D485">
            <v>180</v>
          </cell>
        </row>
        <row r="485">
          <cell r="F485" t="str">
            <v>粉</v>
          </cell>
        </row>
        <row r="485">
          <cell r="H485">
            <v>48</v>
          </cell>
        </row>
        <row r="486">
          <cell r="D486">
            <v>180</v>
          </cell>
        </row>
        <row r="486">
          <cell r="F486" t="str">
            <v>彩</v>
          </cell>
        </row>
        <row r="486">
          <cell r="H486">
            <v>48</v>
          </cell>
        </row>
        <row r="487">
          <cell r="D487">
            <v>190</v>
          </cell>
        </row>
        <row r="487">
          <cell r="F487" t="str">
            <v>白</v>
          </cell>
        </row>
        <row r="487">
          <cell r="H487" t="str">
            <v/>
          </cell>
        </row>
        <row r="488">
          <cell r="D488">
            <v>190</v>
          </cell>
        </row>
        <row r="488">
          <cell r="F488" t="str">
            <v>绿</v>
          </cell>
        </row>
        <row r="488">
          <cell r="H488" t="str">
            <v/>
          </cell>
        </row>
        <row r="489">
          <cell r="D489">
            <v>190</v>
          </cell>
        </row>
        <row r="489">
          <cell r="F489" t="str">
            <v>蓝</v>
          </cell>
        </row>
        <row r="489">
          <cell r="H489" t="str">
            <v/>
          </cell>
        </row>
        <row r="490">
          <cell r="D490">
            <v>190</v>
          </cell>
        </row>
        <row r="490">
          <cell r="F490" t="str">
            <v>紫</v>
          </cell>
        </row>
        <row r="490">
          <cell r="H490">
            <v>52</v>
          </cell>
        </row>
        <row r="491">
          <cell r="D491">
            <v>190</v>
          </cell>
        </row>
        <row r="491">
          <cell r="F491" t="str">
            <v>橙</v>
          </cell>
        </row>
        <row r="491">
          <cell r="H491">
            <v>52</v>
          </cell>
        </row>
        <row r="492">
          <cell r="D492">
            <v>190</v>
          </cell>
        </row>
        <row r="492">
          <cell r="F492" t="str">
            <v>红</v>
          </cell>
        </row>
        <row r="492">
          <cell r="H492">
            <v>52</v>
          </cell>
        </row>
        <row r="493">
          <cell r="D493">
            <v>190</v>
          </cell>
        </row>
        <row r="493">
          <cell r="F493" t="str">
            <v>粉</v>
          </cell>
        </row>
        <row r="493">
          <cell r="H493">
            <v>52</v>
          </cell>
        </row>
        <row r="494">
          <cell r="D494">
            <v>190</v>
          </cell>
        </row>
        <row r="494">
          <cell r="F494" t="str">
            <v>彩</v>
          </cell>
        </row>
        <row r="494">
          <cell r="H494">
            <v>52</v>
          </cell>
        </row>
        <row r="495">
          <cell r="D495">
            <v>200</v>
          </cell>
        </row>
        <row r="495">
          <cell r="F495" t="str">
            <v>白</v>
          </cell>
        </row>
        <row r="495">
          <cell r="H495" t="str">
            <v/>
          </cell>
        </row>
        <row r="496">
          <cell r="D496">
            <v>200</v>
          </cell>
        </row>
        <row r="496">
          <cell r="F496" t="str">
            <v>绿</v>
          </cell>
        </row>
        <row r="496">
          <cell r="H496" t="str">
            <v/>
          </cell>
        </row>
        <row r="497">
          <cell r="D497">
            <v>200</v>
          </cell>
        </row>
        <row r="497">
          <cell r="F497" t="str">
            <v>蓝</v>
          </cell>
        </row>
        <row r="497">
          <cell r="H497" t="str">
            <v/>
          </cell>
        </row>
        <row r="498">
          <cell r="D498">
            <v>200</v>
          </cell>
        </row>
        <row r="498">
          <cell r="F498" t="str">
            <v>紫</v>
          </cell>
        </row>
        <row r="498">
          <cell r="H498">
            <v>57</v>
          </cell>
        </row>
        <row r="499">
          <cell r="D499">
            <v>200</v>
          </cell>
        </row>
        <row r="499">
          <cell r="F499" t="str">
            <v>橙</v>
          </cell>
        </row>
        <row r="499">
          <cell r="H499">
            <v>57</v>
          </cell>
        </row>
        <row r="500">
          <cell r="D500">
            <v>200</v>
          </cell>
        </row>
        <row r="500">
          <cell r="F500" t="str">
            <v>红</v>
          </cell>
        </row>
        <row r="500">
          <cell r="H500">
            <v>57</v>
          </cell>
        </row>
        <row r="501">
          <cell r="D501">
            <v>200</v>
          </cell>
        </row>
        <row r="501">
          <cell r="F501" t="str">
            <v>粉</v>
          </cell>
        </row>
        <row r="501">
          <cell r="H501">
            <v>57</v>
          </cell>
        </row>
        <row r="502">
          <cell r="D502">
            <v>200</v>
          </cell>
        </row>
        <row r="502">
          <cell r="F502" t="str">
            <v>彩</v>
          </cell>
        </row>
        <row r="502">
          <cell r="H502">
            <v>57</v>
          </cell>
        </row>
        <row r="503">
          <cell r="D503">
            <v>210</v>
          </cell>
        </row>
        <row r="503">
          <cell r="F503" t="str">
            <v>白</v>
          </cell>
        </row>
        <row r="503">
          <cell r="H503" t="str">
            <v/>
          </cell>
        </row>
        <row r="504">
          <cell r="D504">
            <v>210</v>
          </cell>
        </row>
        <row r="504">
          <cell r="F504" t="str">
            <v>绿</v>
          </cell>
        </row>
        <row r="504">
          <cell r="H504" t="str">
            <v/>
          </cell>
        </row>
        <row r="505">
          <cell r="D505">
            <v>210</v>
          </cell>
        </row>
        <row r="505">
          <cell r="F505" t="str">
            <v>蓝</v>
          </cell>
        </row>
        <row r="505">
          <cell r="H505" t="str">
            <v/>
          </cell>
        </row>
        <row r="506">
          <cell r="D506">
            <v>210</v>
          </cell>
        </row>
        <row r="506">
          <cell r="F506" t="str">
            <v>紫</v>
          </cell>
        </row>
        <row r="506">
          <cell r="H506">
            <v>62</v>
          </cell>
        </row>
        <row r="507">
          <cell r="D507">
            <v>210</v>
          </cell>
        </row>
        <row r="507">
          <cell r="F507" t="str">
            <v>橙</v>
          </cell>
        </row>
        <row r="507">
          <cell r="H507">
            <v>62</v>
          </cell>
        </row>
        <row r="508">
          <cell r="D508">
            <v>210</v>
          </cell>
        </row>
        <row r="508">
          <cell r="F508" t="str">
            <v>红</v>
          </cell>
        </row>
        <row r="508">
          <cell r="H508">
            <v>62</v>
          </cell>
        </row>
        <row r="509">
          <cell r="D509">
            <v>210</v>
          </cell>
        </row>
        <row r="509">
          <cell r="F509" t="str">
            <v>粉</v>
          </cell>
        </row>
        <row r="509">
          <cell r="H509">
            <v>62</v>
          </cell>
        </row>
        <row r="510">
          <cell r="D510">
            <v>210</v>
          </cell>
        </row>
        <row r="510">
          <cell r="F510" t="str">
            <v>彩</v>
          </cell>
        </row>
        <row r="510">
          <cell r="H510">
            <v>62</v>
          </cell>
        </row>
        <row r="511">
          <cell r="D511">
            <v>220</v>
          </cell>
        </row>
        <row r="511">
          <cell r="F511" t="str">
            <v>白</v>
          </cell>
        </row>
        <row r="511">
          <cell r="H511" t="str">
            <v/>
          </cell>
        </row>
        <row r="512">
          <cell r="D512">
            <v>220</v>
          </cell>
        </row>
        <row r="512">
          <cell r="F512" t="str">
            <v>绿</v>
          </cell>
        </row>
        <row r="512">
          <cell r="H512" t="str">
            <v/>
          </cell>
        </row>
        <row r="513">
          <cell r="D513">
            <v>220</v>
          </cell>
        </row>
        <row r="513">
          <cell r="F513" t="str">
            <v>蓝</v>
          </cell>
        </row>
        <row r="513">
          <cell r="H513" t="str">
            <v/>
          </cell>
        </row>
        <row r="514">
          <cell r="D514">
            <v>220</v>
          </cell>
        </row>
        <row r="514">
          <cell r="F514" t="str">
            <v>紫</v>
          </cell>
        </row>
        <row r="514">
          <cell r="H514">
            <v>68</v>
          </cell>
        </row>
        <row r="515">
          <cell r="D515">
            <v>220</v>
          </cell>
        </row>
        <row r="515">
          <cell r="F515" t="str">
            <v>橙</v>
          </cell>
        </row>
        <row r="515">
          <cell r="H515">
            <v>68</v>
          </cell>
        </row>
        <row r="516">
          <cell r="D516">
            <v>220</v>
          </cell>
        </row>
        <row r="516">
          <cell r="F516" t="str">
            <v>红</v>
          </cell>
        </row>
        <row r="516">
          <cell r="H516">
            <v>68</v>
          </cell>
        </row>
        <row r="517">
          <cell r="D517">
            <v>220</v>
          </cell>
        </row>
        <row r="517">
          <cell r="F517" t="str">
            <v>粉</v>
          </cell>
        </row>
        <row r="517">
          <cell r="H517">
            <v>68</v>
          </cell>
        </row>
        <row r="518">
          <cell r="D518">
            <v>220</v>
          </cell>
        </row>
        <row r="518">
          <cell r="F518" t="str">
            <v>彩</v>
          </cell>
        </row>
        <row r="518">
          <cell r="H518">
            <v>68</v>
          </cell>
        </row>
        <row r="519">
          <cell r="D519">
            <v>230</v>
          </cell>
        </row>
        <row r="519">
          <cell r="F519" t="str">
            <v>白</v>
          </cell>
        </row>
        <row r="519">
          <cell r="H519" t="str">
            <v/>
          </cell>
        </row>
        <row r="520">
          <cell r="D520">
            <v>230</v>
          </cell>
        </row>
        <row r="520">
          <cell r="F520" t="str">
            <v>绿</v>
          </cell>
        </row>
        <row r="520">
          <cell r="H520" t="str">
            <v/>
          </cell>
        </row>
        <row r="521">
          <cell r="D521">
            <v>230</v>
          </cell>
        </row>
        <row r="521">
          <cell r="F521" t="str">
            <v>蓝</v>
          </cell>
        </row>
        <row r="521">
          <cell r="H521" t="str">
            <v/>
          </cell>
        </row>
        <row r="522">
          <cell r="D522">
            <v>230</v>
          </cell>
        </row>
        <row r="522">
          <cell r="F522" t="str">
            <v>紫</v>
          </cell>
        </row>
        <row r="522">
          <cell r="H522">
            <v>74</v>
          </cell>
        </row>
        <row r="523">
          <cell r="D523">
            <v>230</v>
          </cell>
        </row>
        <row r="523">
          <cell r="F523" t="str">
            <v>橙</v>
          </cell>
        </row>
        <row r="523">
          <cell r="H523">
            <v>74</v>
          </cell>
        </row>
        <row r="524">
          <cell r="D524">
            <v>230</v>
          </cell>
        </row>
        <row r="524">
          <cell r="F524" t="str">
            <v>红</v>
          </cell>
        </row>
        <row r="524">
          <cell r="H524">
            <v>74</v>
          </cell>
        </row>
        <row r="525">
          <cell r="D525">
            <v>230</v>
          </cell>
        </row>
        <row r="525">
          <cell r="F525" t="str">
            <v>粉</v>
          </cell>
        </row>
        <row r="525">
          <cell r="H525">
            <v>74</v>
          </cell>
        </row>
        <row r="526">
          <cell r="D526">
            <v>230</v>
          </cell>
        </row>
        <row r="526">
          <cell r="F526" t="str">
            <v>彩</v>
          </cell>
        </row>
        <row r="526">
          <cell r="H526">
            <v>74</v>
          </cell>
        </row>
        <row r="527">
          <cell r="D527">
            <v>240</v>
          </cell>
        </row>
        <row r="527">
          <cell r="F527" t="str">
            <v>白</v>
          </cell>
        </row>
        <row r="527">
          <cell r="H527" t="str">
            <v/>
          </cell>
        </row>
        <row r="528">
          <cell r="D528">
            <v>240</v>
          </cell>
        </row>
        <row r="528">
          <cell r="F528" t="str">
            <v>绿</v>
          </cell>
        </row>
        <row r="528">
          <cell r="H528" t="str">
            <v/>
          </cell>
        </row>
        <row r="529">
          <cell r="D529">
            <v>240</v>
          </cell>
        </row>
        <row r="529">
          <cell r="F529" t="str">
            <v>蓝</v>
          </cell>
        </row>
        <row r="529">
          <cell r="H529" t="str">
            <v/>
          </cell>
        </row>
        <row r="530">
          <cell r="D530">
            <v>240</v>
          </cell>
        </row>
        <row r="530">
          <cell r="F530" t="str">
            <v>紫</v>
          </cell>
        </row>
        <row r="530">
          <cell r="H530">
            <v>81</v>
          </cell>
        </row>
        <row r="531">
          <cell r="D531">
            <v>240</v>
          </cell>
        </row>
        <row r="531">
          <cell r="F531" t="str">
            <v>橙</v>
          </cell>
        </row>
        <row r="531">
          <cell r="H531">
            <v>81</v>
          </cell>
        </row>
        <row r="532">
          <cell r="D532">
            <v>240</v>
          </cell>
        </row>
        <row r="532">
          <cell r="F532" t="str">
            <v>红</v>
          </cell>
        </row>
        <row r="532">
          <cell r="H532">
            <v>81</v>
          </cell>
        </row>
        <row r="533">
          <cell r="D533">
            <v>240</v>
          </cell>
        </row>
        <row r="533">
          <cell r="F533" t="str">
            <v>粉</v>
          </cell>
        </row>
        <row r="533">
          <cell r="H533">
            <v>81</v>
          </cell>
        </row>
        <row r="534">
          <cell r="D534">
            <v>240</v>
          </cell>
        </row>
        <row r="534">
          <cell r="F534" t="str">
            <v>彩</v>
          </cell>
        </row>
        <row r="534">
          <cell r="H534">
            <v>81</v>
          </cell>
        </row>
        <row r="535">
          <cell r="D535">
            <v>250</v>
          </cell>
        </row>
        <row r="535">
          <cell r="F535" t="str">
            <v>白</v>
          </cell>
        </row>
        <row r="535">
          <cell r="H535" t="str">
            <v/>
          </cell>
        </row>
        <row r="536">
          <cell r="D536">
            <v>250</v>
          </cell>
        </row>
        <row r="536">
          <cell r="F536" t="str">
            <v>绿</v>
          </cell>
        </row>
        <row r="536">
          <cell r="H536" t="str">
            <v/>
          </cell>
        </row>
        <row r="537">
          <cell r="D537">
            <v>250</v>
          </cell>
        </row>
        <row r="537">
          <cell r="F537" t="str">
            <v>蓝</v>
          </cell>
        </row>
        <row r="537">
          <cell r="H537" t="str">
            <v/>
          </cell>
        </row>
        <row r="538">
          <cell r="D538">
            <v>250</v>
          </cell>
        </row>
        <row r="538">
          <cell r="F538" t="str">
            <v>紫</v>
          </cell>
        </row>
        <row r="538">
          <cell r="H538">
            <v>89</v>
          </cell>
        </row>
        <row r="539">
          <cell r="D539">
            <v>250</v>
          </cell>
        </row>
        <row r="539">
          <cell r="F539" t="str">
            <v>橙</v>
          </cell>
        </row>
        <row r="539">
          <cell r="H539">
            <v>89</v>
          </cell>
        </row>
        <row r="540">
          <cell r="D540">
            <v>250</v>
          </cell>
        </row>
        <row r="540">
          <cell r="F540" t="str">
            <v>红</v>
          </cell>
        </row>
        <row r="540">
          <cell r="H540">
            <v>89</v>
          </cell>
        </row>
        <row r="541">
          <cell r="D541">
            <v>250</v>
          </cell>
        </row>
        <row r="541">
          <cell r="F541" t="str">
            <v>粉</v>
          </cell>
        </row>
        <row r="541">
          <cell r="H541">
            <v>89</v>
          </cell>
        </row>
        <row r="542">
          <cell r="D542">
            <v>250</v>
          </cell>
        </row>
        <row r="542">
          <cell r="F542" t="str">
            <v>彩</v>
          </cell>
        </row>
        <row r="542">
          <cell r="H542">
            <v>89</v>
          </cell>
        </row>
        <row r="543">
          <cell r="D543">
            <v>260</v>
          </cell>
        </row>
        <row r="543">
          <cell r="F543" t="str">
            <v>白</v>
          </cell>
        </row>
        <row r="543">
          <cell r="H543" t="str">
            <v/>
          </cell>
        </row>
        <row r="544">
          <cell r="D544">
            <v>260</v>
          </cell>
        </row>
        <row r="544">
          <cell r="F544" t="str">
            <v>绿</v>
          </cell>
        </row>
        <row r="544">
          <cell r="H544" t="str">
            <v/>
          </cell>
        </row>
        <row r="545">
          <cell r="D545">
            <v>260</v>
          </cell>
        </row>
        <row r="545">
          <cell r="F545" t="str">
            <v>蓝</v>
          </cell>
        </row>
        <row r="545">
          <cell r="H545" t="str">
            <v/>
          </cell>
        </row>
        <row r="546">
          <cell r="D546">
            <v>260</v>
          </cell>
        </row>
        <row r="546">
          <cell r="F546" t="str">
            <v>紫</v>
          </cell>
        </row>
        <row r="546">
          <cell r="H546">
            <v>97</v>
          </cell>
        </row>
        <row r="547">
          <cell r="D547">
            <v>260</v>
          </cell>
        </row>
        <row r="547">
          <cell r="F547" t="str">
            <v>橙</v>
          </cell>
        </row>
        <row r="547">
          <cell r="H547">
            <v>97</v>
          </cell>
        </row>
        <row r="548">
          <cell r="D548">
            <v>260</v>
          </cell>
        </row>
        <row r="548">
          <cell r="F548" t="str">
            <v>红</v>
          </cell>
        </row>
        <row r="548">
          <cell r="H548">
            <v>97</v>
          </cell>
        </row>
        <row r="549">
          <cell r="D549">
            <v>260</v>
          </cell>
        </row>
        <row r="549">
          <cell r="F549" t="str">
            <v>粉</v>
          </cell>
        </row>
        <row r="549">
          <cell r="H549">
            <v>97</v>
          </cell>
        </row>
        <row r="550">
          <cell r="D550">
            <v>260</v>
          </cell>
        </row>
        <row r="550">
          <cell r="F550" t="str">
            <v>彩</v>
          </cell>
        </row>
        <row r="550">
          <cell r="H550">
            <v>97</v>
          </cell>
        </row>
        <row r="551">
          <cell r="D551">
            <v>270</v>
          </cell>
        </row>
        <row r="551">
          <cell r="F551" t="str">
            <v>白</v>
          </cell>
        </row>
        <row r="551">
          <cell r="H551" t="str">
            <v/>
          </cell>
        </row>
        <row r="552">
          <cell r="D552">
            <v>270</v>
          </cell>
        </row>
        <row r="552">
          <cell r="F552" t="str">
            <v>绿</v>
          </cell>
        </row>
        <row r="552">
          <cell r="H552" t="str">
            <v/>
          </cell>
        </row>
        <row r="553">
          <cell r="D553">
            <v>270</v>
          </cell>
        </row>
        <row r="553">
          <cell r="F553" t="str">
            <v>蓝</v>
          </cell>
        </row>
        <row r="553">
          <cell r="H553" t="str">
            <v/>
          </cell>
        </row>
        <row r="554">
          <cell r="D554">
            <v>270</v>
          </cell>
        </row>
        <row r="554">
          <cell r="F554" t="str">
            <v>紫</v>
          </cell>
        </row>
        <row r="554">
          <cell r="H554">
            <v>106</v>
          </cell>
        </row>
        <row r="555">
          <cell r="D555">
            <v>270</v>
          </cell>
        </row>
        <row r="555">
          <cell r="F555" t="str">
            <v>橙</v>
          </cell>
        </row>
        <row r="555">
          <cell r="H555">
            <v>106</v>
          </cell>
        </row>
        <row r="556">
          <cell r="D556">
            <v>270</v>
          </cell>
        </row>
        <row r="556">
          <cell r="F556" t="str">
            <v>红</v>
          </cell>
        </row>
        <row r="556">
          <cell r="H556">
            <v>106</v>
          </cell>
        </row>
        <row r="557">
          <cell r="D557">
            <v>270</v>
          </cell>
        </row>
        <row r="557">
          <cell r="F557" t="str">
            <v>粉</v>
          </cell>
        </row>
        <row r="557">
          <cell r="H557">
            <v>106</v>
          </cell>
        </row>
        <row r="571">
          <cell r="D571">
            <v>290</v>
          </cell>
        </row>
        <row r="571">
          <cell r="I571">
            <v>1270</v>
          </cell>
        </row>
        <row r="572">
          <cell r="D572">
            <v>290</v>
          </cell>
        </row>
        <row r="572">
          <cell r="I572">
            <v>1270</v>
          </cell>
        </row>
        <row r="573">
          <cell r="D573">
            <v>290</v>
          </cell>
        </row>
        <row r="573">
          <cell r="I573">
            <v>1270</v>
          </cell>
        </row>
        <row r="574">
          <cell r="D574">
            <v>290</v>
          </cell>
        </row>
        <row r="574">
          <cell r="I574">
            <v>1270</v>
          </cell>
        </row>
        <row r="575">
          <cell r="D575">
            <v>300</v>
          </cell>
        </row>
        <row r="575">
          <cell r="I575" t="str">
            <v/>
          </cell>
        </row>
        <row r="576">
          <cell r="D576">
            <v>300</v>
          </cell>
        </row>
        <row r="576">
          <cell r="I576" t="str">
            <v/>
          </cell>
        </row>
        <row r="577">
          <cell r="D577">
            <v>300</v>
          </cell>
        </row>
        <row r="577">
          <cell r="I577" t="str">
            <v/>
          </cell>
        </row>
        <row r="578">
          <cell r="D578">
            <v>300</v>
          </cell>
        </row>
        <row r="578">
          <cell r="I578">
            <v>1390</v>
          </cell>
        </row>
        <row r="579">
          <cell r="D579">
            <v>300</v>
          </cell>
        </row>
        <row r="579">
          <cell r="I579">
            <v>1390</v>
          </cell>
        </row>
        <row r="580">
          <cell r="D580">
            <v>300</v>
          </cell>
        </row>
        <row r="580">
          <cell r="I580">
            <v>1390</v>
          </cell>
        </row>
        <row r="581">
          <cell r="D581">
            <v>300</v>
          </cell>
        </row>
        <row r="581">
          <cell r="I581">
            <v>1390</v>
          </cell>
        </row>
        <row r="582">
          <cell r="D582">
            <v>300</v>
          </cell>
        </row>
        <row r="582">
          <cell r="I582">
            <v>1390</v>
          </cell>
        </row>
        <row r="588">
          <cell r="D588" t="str">
            <v>#强化这边所有部位属性做一样，但是词条加成不一样，保证对属性有追求</v>
          </cell>
        </row>
        <row r="589">
          <cell r="D589" t="str">
            <v>每日产出</v>
          </cell>
        </row>
        <row r="590">
          <cell r="D590">
            <v>1000</v>
          </cell>
        </row>
        <row r="595">
          <cell r="D595" t="str">
            <v>装备等级</v>
          </cell>
        </row>
        <row r="595">
          <cell r="I595" t="str">
            <v>攻击</v>
          </cell>
        </row>
        <row r="596">
          <cell r="D596">
            <v>1</v>
          </cell>
        </row>
        <row r="596">
          <cell r="I596">
            <v>3</v>
          </cell>
        </row>
        <row r="597">
          <cell r="D597">
            <v>2</v>
          </cell>
        </row>
        <row r="597">
          <cell r="I597">
            <v>6</v>
          </cell>
        </row>
        <row r="598">
          <cell r="D598">
            <v>3</v>
          </cell>
        </row>
        <row r="598">
          <cell r="I598">
            <v>9</v>
          </cell>
        </row>
        <row r="599">
          <cell r="D599">
            <v>4</v>
          </cell>
        </row>
        <row r="599">
          <cell r="I599">
            <v>12</v>
          </cell>
        </row>
        <row r="600">
          <cell r="D600">
            <v>5</v>
          </cell>
        </row>
        <row r="600">
          <cell r="I600">
            <v>15</v>
          </cell>
        </row>
        <row r="601">
          <cell r="D601">
            <v>6</v>
          </cell>
        </row>
        <row r="601">
          <cell r="I601">
            <v>18</v>
          </cell>
        </row>
        <row r="602">
          <cell r="D602">
            <v>7</v>
          </cell>
        </row>
        <row r="602">
          <cell r="I602">
            <v>21</v>
          </cell>
        </row>
        <row r="603">
          <cell r="D603">
            <v>8</v>
          </cell>
        </row>
        <row r="603">
          <cell r="I603">
            <v>24</v>
          </cell>
        </row>
        <row r="604">
          <cell r="D604">
            <v>9</v>
          </cell>
        </row>
        <row r="604">
          <cell r="I604">
            <v>27</v>
          </cell>
        </row>
        <row r="605">
          <cell r="D605">
            <v>10</v>
          </cell>
        </row>
        <row r="605">
          <cell r="I605">
            <v>31</v>
          </cell>
        </row>
        <row r="606">
          <cell r="D606">
            <v>11</v>
          </cell>
        </row>
        <row r="606">
          <cell r="I606">
            <v>35</v>
          </cell>
        </row>
        <row r="607">
          <cell r="D607">
            <v>12</v>
          </cell>
        </row>
        <row r="607">
          <cell r="I607">
            <v>39</v>
          </cell>
        </row>
        <row r="608">
          <cell r="D608">
            <v>13</v>
          </cell>
        </row>
        <row r="608">
          <cell r="I608">
            <v>43</v>
          </cell>
        </row>
        <row r="609">
          <cell r="D609">
            <v>14</v>
          </cell>
        </row>
        <row r="609">
          <cell r="I609">
            <v>47</v>
          </cell>
        </row>
        <row r="610">
          <cell r="D610">
            <v>15</v>
          </cell>
        </row>
        <row r="610">
          <cell r="I610">
            <v>51</v>
          </cell>
        </row>
        <row r="611">
          <cell r="D611">
            <v>16</v>
          </cell>
        </row>
        <row r="611">
          <cell r="I611">
            <v>55</v>
          </cell>
        </row>
        <row r="612">
          <cell r="D612">
            <v>17</v>
          </cell>
        </row>
        <row r="612">
          <cell r="I612">
            <v>59</v>
          </cell>
        </row>
        <row r="613">
          <cell r="D613">
            <v>18</v>
          </cell>
        </row>
        <row r="613">
          <cell r="I613">
            <v>63</v>
          </cell>
        </row>
        <row r="614">
          <cell r="D614">
            <v>19</v>
          </cell>
        </row>
        <row r="614">
          <cell r="I614">
            <v>67</v>
          </cell>
        </row>
        <row r="615">
          <cell r="D615">
            <v>20</v>
          </cell>
        </row>
        <row r="615">
          <cell r="I615">
            <v>72</v>
          </cell>
        </row>
        <row r="616">
          <cell r="D616">
            <v>21</v>
          </cell>
        </row>
        <row r="616">
          <cell r="I616">
            <v>77</v>
          </cell>
        </row>
        <row r="617">
          <cell r="D617">
            <v>22</v>
          </cell>
        </row>
        <row r="617">
          <cell r="I617">
            <v>82</v>
          </cell>
        </row>
        <row r="618">
          <cell r="D618">
            <v>23</v>
          </cell>
        </row>
        <row r="618">
          <cell r="I618">
            <v>87</v>
          </cell>
        </row>
        <row r="619">
          <cell r="D619">
            <v>24</v>
          </cell>
        </row>
        <row r="619">
          <cell r="I619">
            <v>92</v>
          </cell>
        </row>
        <row r="620">
          <cell r="D620">
            <v>25</v>
          </cell>
        </row>
        <row r="620">
          <cell r="I620">
            <v>97</v>
          </cell>
        </row>
        <row r="621">
          <cell r="D621">
            <v>26</v>
          </cell>
        </row>
        <row r="621">
          <cell r="I621">
            <v>102</v>
          </cell>
        </row>
        <row r="622">
          <cell r="D622">
            <v>27</v>
          </cell>
        </row>
        <row r="622">
          <cell r="I622">
            <v>107</v>
          </cell>
        </row>
        <row r="623">
          <cell r="D623">
            <v>28</v>
          </cell>
        </row>
        <row r="623">
          <cell r="I623">
            <v>112</v>
          </cell>
        </row>
        <row r="624">
          <cell r="D624">
            <v>29</v>
          </cell>
        </row>
        <row r="624">
          <cell r="I624">
            <v>117</v>
          </cell>
        </row>
        <row r="625">
          <cell r="D625">
            <v>30</v>
          </cell>
        </row>
        <row r="625">
          <cell r="I625">
            <v>122</v>
          </cell>
        </row>
        <row r="626">
          <cell r="D626">
            <v>31</v>
          </cell>
        </row>
        <row r="626">
          <cell r="I626">
            <v>127</v>
          </cell>
        </row>
        <row r="627">
          <cell r="D627">
            <v>32</v>
          </cell>
        </row>
        <row r="627">
          <cell r="I627">
            <v>132</v>
          </cell>
        </row>
        <row r="628">
          <cell r="D628">
            <v>33</v>
          </cell>
        </row>
        <row r="628">
          <cell r="I628">
            <v>137</v>
          </cell>
        </row>
        <row r="629">
          <cell r="D629">
            <v>34</v>
          </cell>
        </row>
        <row r="629">
          <cell r="I629">
            <v>142</v>
          </cell>
        </row>
        <row r="630">
          <cell r="D630">
            <v>35</v>
          </cell>
        </row>
        <row r="630">
          <cell r="I630">
            <v>148</v>
          </cell>
        </row>
        <row r="631">
          <cell r="D631">
            <v>36</v>
          </cell>
        </row>
        <row r="631">
          <cell r="I631">
            <v>154</v>
          </cell>
        </row>
        <row r="632">
          <cell r="D632">
            <v>37</v>
          </cell>
        </row>
        <row r="632">
          <cell r="I632">
            <v>160</v>
          </cell>
        </row>
        <row r="633">
          <cell r="D633">
            <v>38</v>
          </cell>
        </row>
        <row r="633">
          <cell r="I633">
            <v>166</v>
          </cell>
        </row>
        <row r="634">
          <cell r="D634">
            <v>39</v>
          </cell>
        </row>
        <row r="634">
          <cell r="I634">
            <v>172</v>
          </cell>
        </row>
        <row r="635">
          <cell r="D635">
            <v>40</v>
          </cell>
        </row>
        <row r="635">
          <cell r="I635">
            <v>179</v>
          </cell>
        </row>
        <row r="636">
          <cell r="D636">
            <v>41</v>
          </cell>
        </row>
        <row r="636">
          <cell r="I636">
            <v>186</v>
          </cell>
        </row>
        <row r="637">
          <cell r="D637">
            <v>42</v>
          </cell>
        </row>
        <row r="637">
          <cell r="I637">
            <v>193</v>
          </cell>
        </row>
        <row r="638">
          <cell r="D638">
            <v>43</v>
          </cell>
        </row>
        <row r="638">
          <cell r="I638">
            <v>200</v>
          </cell>
        </row>
        <row r="639">
          <cell r="D639">
            <v>44</v>
          </cell>
        </row>
        <row r="639">
          <cell r="I639">
            <v>207</v>
          </cell>
        </row>
        <row r="640">
          <cell r="D640">
            <v>45</v>
          </cell>
        </row>
        <row r="640">
          <cell r="I640">
            <v>214</v>
          </cell>
        </row>
        <row r="641">
          <cell r="D641">
            <v>46</v>
          </cell>
        </row>
        <row r="641">
          <cell r="I641">
            <v>221</v>
          </cell>
        </row>
        <row r="642">
          <cell r="D642">
            <v>47</v>
          </cell>
        </row>
        <row r="642">
          <cell r="I642">
            <v>228</v>
          </cell>
        </row>
        <row r="643">
          <cell r="D643">
            <v>48</v>
          </cell>
        </row>
        <row r="643">
          <cell r="I643">
            <v>236</v>
          </cell>
        </row>
        <row r="644">
          <cell r="D644">
            <v>49</v>
          </cell>
        </row>
        <row r="644">
          <cell r="I644">
            <v>244</v>
          </cell>
        </row>
        <row r="645">
          <cell r="D645">
            <v>50</v>
          </cell>
        </row>
        <row r="645">
          <cell r="I645">
            <v>252</v>
          </cell>
        </row>
        <row r="646">
          <cell r="D646">
            <v>51</v>
          </cell>
        </row>
        <row r="646">
          <cell r="I646">
            <v>262</v>
          </cell>
        </row>
        <row r="647">
          <cell r="D647">
            <v>52</v>
          </cell>
        </row>
        <row r="647">
          <cell r="I647">
            <v>272</v>
          </cell>
        </row>
        <row r="648">
          <cell r="D648">
            <v>53</v>
          </cell>
        </row>
        <row r="648">
          <cell r="I648">
            <v>282</v>
          </cell>
        </row>
        <row r="649">
          <cell r="D649">
            <v>54</v>
          </cell>
        </row>
        <row r="649">
          <cell r="I649">
            <v>292</v>
          </cell>
        </row>
        <row r="650">
          <cell r="D650">
            <v>55</v>
          </cell>
        </row>
        <row r="650">
          <cell r="I650">
            <v>302</v>
          </cell>
        </row>
        <row r="651">
          <cell r="D651">
            <v>56</v>
          </cell>
        </row>
        <row r="651">
          <cell r="I651">
            <v>312</v>
          </cell>
        </row>
        <row r="652">
          <cell r="D652">
            <v>57</v>
          </cell>
        </row>
        <row r="652">
          <cell r="I652">
            <v>322</v>
          </cell>
        </row>
        <row r="653">
          <cell r="D653">
            <v>58</v>
          </cell>
        </row>
        <row r="653">
          <cell r="I653">
            <v>332</v>
          </cell>
        </row>
        <row r="654">
          <cell r="D654">
            <v>59</v>
          </cell>
        </row>
        <row r="654">
          <cell r="I654">
            <v>342</v>
          </cell>
        </row>
        <row r="655">
          <cell r="D655">
            <v>60</v>
          </cell>
        </row>
        <row r="655">
          <cell r="I655">
            <v>352</v>
          </cell>
        </row>
        <row r="656">
          <cell r="D656">
            <v>61</v>
          </cell>
        </row>
        <row r="656">
          <cell r="I656">
            <v>362</v>
          </cell>
        </row>
        <row r="657">
          <cell r="D657">
            <v>62</v>
          </cell>
        </row>
        <row r="657">
          <cell r="I657">
            <v>372</v>
          </cell>
        </row>
        <row r="658">
          <cell r="D658">
            <v>63</v>
          </cell>
        </row>
        <row r="658">
          <cell r="I658">
            <v>382</v>
          </cell>
        </row>
        <row r="659">
          <cell r="D659">
            <v>64</v>
          </cell>
        </row>
        <row r="659">
          <cell r="I659">
            <v>392</v>
          </cell>
        </row>
        <row r="660">
          <cell r="D660">
            <v>65</v>
          </cell>
        </row>
        <row r="660">
          <cell r="I660">
            <v>402</v>
          </cell>
        </row>
        <row r="661">
          <cell r="D661">
            <v>66</v>
          </cell>
        </row>
        <row r="661">
          <cell r="I661">
            <v>412</v>
          </cell>
        </row>
        <row r="662">
          <cell r="D662">
            <v>67</v>
          </cell>
        </row>
        <row r="662">
          <cell r="I662">
            <v>422</v>
          </cell>
        </row>
        <row r="663">
          <cell r="D663">
            <v>68</v>
          </cell>
        </row>
        <row r="663">
          <cell r="I663">
            <v>432</v>
          </cell>
        </row>
        <row r="664">
          <cell r="D664">
            <v>69</v>
          </cell>
        </row>
        <row r="664">
          <cell r="I664">
            <v>442</v>
          </cell>
        </row>
        <row r="665">
          <cell r="D665">
            <v>70</v>
          </cell>
        </row>
        <row r="665">
          <cell r="I665">
            <v>454</v>
          </cell>
        </row>
        <row r="666">
          <cell r="D666">
            <v>71</v>
          </cell>
        </row>
        <row r="666">
          <cell r="I666">
            <v>466</v>
          </cell>
        </row>
        <row r="667">
          <cell r="D667">
            <v>72</v>
          </cell>
        </row>
        <row r="667">
          <cell r="I667">
            <v>478</v>
          </cell>
        </row>
        <row r="668">
          <cell r="D668">
            <v>73</v>
          </cell>
        </row>
        <row r="668">
          <cell r="I668">
            <v>490</v>
          </cell>
        </row>
        <row r="669">
          <cell r="D669">
            <v>74</v>
          </cell>
        </row>
        <row r="669">
          <cell r="I669">
            <v>502</v>
          </cell>
        </row>
        <row r="670">
          <cell r="D670">
            <v>75</v>
          </cell>
        </row>
        <row r="670">
          <cell r="I670">
            <v>514</v>
          </cell>
        </row>
        <row r="671">
          <cell r="D671">
            <v>76</v>
          </cell>
        </row>
        <row r="671">
          <cell r="I671">
            <v>526</v>
          </cell>
        </row>
        <row r="672">
          <cell r="D672">
            <v>77</v>
          </cell>
        </row>
        <row r="672">
          <cell r="I672">
            <v>538</v>
          </cell>
        </row>
        <row r="673">
          <cell r="D673">
            <v>78</v>
          </cell>
        </row>
        <row r="673">
          <cell r="I673">
            <v>550</v>
          </cell>
        </row>
        <row r="674">
          <cell r="D674">
            <v>79</v>
          </cell>
        </row>
        <row r="674">
          <cell r="I674">
            <v>562</v>
          </cell>
        </row>
        <row r="675">
          <cell r="D675">
            <v>80</v>
          </cell>
        </row>
        <row r="675">
          <cell r="I675">
            <v>578</v>
          </cell>
        </row>
        <row r="676">
          <cell r="D676">
            <v>81</v>
          </cell>
        </row>
        <row r="676">
          <cell r="I676">
            <v>594</v>
          </cell>
        </row>
        <row r="677">
          <cell r="D677">
            <v>82</v>
          </cell>
        </row>
        <row r="677">
          <cell r="I677">
            <v>610</v>
          </cell>
        </row>
        <row r="678">
          <cell r="D678">
            <v>83</v>
          </cell>
        </row>
        <row r="678">
          <cell r="I678">
            <v>626</v>
          </cell>
        </row>
        <row r="679">
          <cell r="D679">
            <v>84</v>
          </cell>
        </row>
        <row r="679">
          <cell r="I679">
            <v>642</v>
          </cell>
        </row>
        <row r="680">
          <cell r="D680">
            <v>85</v>
          </cell>
        </row>
        <row r="680">
          <cell r="I680">
            <v>658</v>
          </cell>
        </row>
        <row r="681">
          <cell r="D681">
            <v>86</v>
          </cell>
        </row>
        <row r="681">
          <cell r="I681">
            <v>674</v>
          </cell>
        </row>
        <row r="682">
          <cell r="D682">
            <v>87</v>
          </cell>
        </row>
        <row r="682">
          <cell r="I682">
            <v>690</v>
          </cell>
        </row>
        <row r="683">
          <cell r="D683">
            <v>88</v>
          </cell>
        </row>
        <row r="683">
          <cell r="I683">
            <v>706</v>
          </cell>
        </row>
        <row r="684">
          <cell r="D684">
            <v>89</v>
          </cell>
        </row>
        <row r="684">
          <cell r="I684">
            <v>722</v>
          </cell>
        </row>
        <row r="685">
          <cell r="D685">
            <v>90</v>
          </cell>
        </row>
        <row r="685">
          <cell r="I685">
            <v>742</v>
          </cell>
        </row>
        <row r="686">
          <cell r="D686">
            <v>91</v>
          </cell>
        </row>
        <row r="686">
          <cell r="I686">
            <v>762</v>
          </cell>
        </row>
        <row r="687">
          <cell r="D687">
            <v>92</v>
          </cell>
        </row>
        <row r="687">
          <cell r="I687">
            <v>782</v>
          </cell>
        </row>
        <row r="688">
          <cell r="D688">
            <v>93</v>
          </cell>
        </row>
        <row r="688">
          <cell r="I688">
            <v>802</v>
          </cell>
        </row>
        <row r="689">
          <cell r="D689">
            <v>94</v>
          </cell>
        </row>
        <row r="689">
          <cell r="I689">
            <v>822</v>
          </cell>
        </row>
        <row r="690">
          <cell r="D690">
            <v>95</v>
          </cell>
        </row>
        <row r="690">
          <cell r="I690">
            <v>846</v>
          </cell>
        </row>
        <row r="691">
          <cell r="D691">
            <v>96</v>
          </cell>
        </row>
        <row r="691">
          <cell r="I691">
            <v>870</v>
          </cell>
        </row>
        <row r="692">
          <cell r="D692">
            <v>97</v>
          </cell>
        </row>
        <row r="692">
          <cell r="I692">
            <v>894</v>
          </cell>
        </row>
        <row r="693">
          <cell r="D693">
            <v>98</v>
          </cell>
        </row>
        <row r="693">
          <cell r="I693">
            <v>918</v>
          </cell>
        </row>
        <row r="694">
          <cell r="D694">
            <v>99</v>
          </cell>
        </row>
        <row r="694">
          <cell r="I694">
            <v>942</v>
          </cell>
        </row>
        <row r="695">
          <cell r="D695">
            <v>100</v>
          </cell>
        </row>
        <row r="695">
          <cell r="I695">
            <v>966</v>
          </cell>
        </row>
        <row r="696">
          <cell r="D696">
            <v>101</v>
          </cell>
        </row>
        <row r="696">
          <cell r="I696">
            <v>994</v>
          </cell>
        </row>
        <row r="697">
          <cell r="D697">
            <v>102</v>
          </cell>
        </row>
        <row r="697">
          <cell r="I697">
            <v>1022</v>
          </cell>
        </row>
        <row r="698">
          <cell r="D698">
            <v>103</v>
          </cell>
        </row>
        <row r="698">
          <cell r="I698">
            <v>1050</v>
          </cell>
        </row>
        <row r="699">
          <cell r="D699">
            <v>104</v>
          </cell>
        </row>
        <row r="699">
          <cell r="I699">
            <v>1078</v>
          </cell>
        </row>
        <row r="700">
          <cell r="D700">
            <v>105</v>
          </cell>
        </row>
        <row r="700">
          <cell r="I700">
            <v>1106</v>
          </cell>
        </row>
        <row r="701">
          <cell r="D701">
            <v>106</v>
          </cell>
        </row>
        <row r="701">
          <cell r="I701">
            <v>1134</v>
          </cell>
        </row>
        <row r="702">
          <cell r="D702">
            <v>107</v>
          </cell>
        </row>
        <row r="702">
          <cell r="I702">
            <v>1162</v>
          </cell>
        </row>
        <row r="703">
          <cell r="D703">
            <v>108</v>
          </cell>
        </row>
        <row r="703">
          <cell r="I703">
            <v>1194</v>
          </cell>
        </row>
        <row r="704">
          <cell r="D704">
            <v>109</v>
          </cell>
        </row>
        <row r="704">
          <cell r="I704">
            <v>1226</v>
          </cell>
        </row>
        <row r="705">
          <cell r="D705">
            <v>110</v>
          </cell>
        </row>
        <row r="705">
          <cell r="I705">
            <v>1258</v>
          </cell>
        </row>
        <row r="706">
          <cell r="D706">
            <v>111</v>
          </cell>
        </row>
        <row r="706">
          <cell r="I706">
            <v>1290</v>
          </cell>
        </row>
        <row r="707">
          <cell r="D707">
            <v>112</v>
          </cell>
        </row>
        <row r="707">
          <cell r="I707">
            <v>1322</v>
          </cell>
        </row>
        <row r="708">
          <cell r="D708">
            <v>113</v>
          </cell>
        </row>
        <row r="708">
          <cell r="I708">
            <v>1354</v>
          </cell>
        </row>
        <row r="709">
          <cell r="D709">
            <v>114</v>
          </cell>
        </row>
        <row r="709">
          <cell r="I709">
            <v>1386</v>
          </cell>
        </row>
        <row r="710">
          <cell r="D710">
            <v>115</v>
          </cell>
        </row>
        <row r="710">
          <cell r="I710">
            <v>1418</v>
          </cell>
        </row>
        <row r="711">
          <cell r="D711">
            <v>116</v>
          </cell>
        </row>
        <row r="711">
          <cell r="I711">
            <v>1454</v>
          </cell>
        </row>
        <row r="712">
          <cell r="D712">
            <v>117</v>
          </cell>
        </row>
        <row r="712">
          <cell r="I712">
            <v>1490</v>
          </cell>
        </row>
        <row r="713">
          <cell r="D713">
            <v>118</v>
          </cell>
        </row>
        <row r="713">
          <cell r="I713">
            <v>1526</v>
          </cell>
        </row>
        <row r="714">
          <cell r="D714">
            <v>119</v>
          </cell>
        </row>
        <row r="714">
          <cell r="I714">
            <v>1562</v>
          </cell>
        </row>
        <row r="715">
          <cell r="D715">
            <v>120</v>
          </cell>
        </row>
        <row r="715">
          <cell r="I715">
            <v>1598</v>
          </cell>
        </row>
        <row r="716">
          <cell r="D716">
            <v>121</v>
          </cell>
        </row>
        <row r="716">
          <cell r="I716">
            <v>1634</v>
          </cell>
        </row>
        <row r="717">
          <cell r="D717">
            <v>122</v>
          </cell>
        </row>
        <row r="717">
          <cell r="I717">
            <v>1670</v>
          </cell>
        </row>
        <row r="718">
          <cell r="D718">
            <v>123</v>
          </cell>
        </row>
        <row r="718">
          <cell r="I718">
            <v>1706</v>
          </cell>
        </row>
        <row r="719">
          <cell r="D719">
            <v>124</v>
          </cell>
        </row>
        <row r="719">
          <cell r="I719">
            <v>1742</v>
          </cell>
        </row>
        <row r="720">
          <cell r="D720">
            <v>125</v>
          </cell>
        </row>
        <row r="720">
          <cell r="I720">
            <v>1778</v>
          </cell>
        </row>
        <row r="721">
          <cell r="D721">
            <v>126</v>
          </cell>
        </row>
        <row r="721">
          <cell r="I721">
            <v>1818</v>
          </cell>
        </row>
        <row r="722">
          <cell r="D722">
            <v>127</v>
          </cell>
        </row>
        <row r="722">
          <cell r="I722">
            <v>1858</v>
          </cell>
        </row>
        <row r="723">
          <cell r="D723">
            <v>128</v>
          </cell>
        </row>
        <row r="723">
          <cell r="I723">
            <v>1898</v>
          </cell>
        </row>
        <row r="724">
          <cell r="D724">
            <v>129</v>
          </cell>
        </row>
        <row r="724">
          <cell r="I724">
            <v>1938</v>
          </cell>
        </row>
        <row r="725">
          <cell r="D725">
            <v>130</v>
          </cell>
        </row>
        <row r="725">
          <cell r="I725">
            <v>1978</v>
          </cell>
        </row>
        <row r="726">
          <cell r="D726">
            <v>131</v>
          </cell>
        </row>
        <row r="726">
          <cell r="I726">
            <v>2018</v>
          </cell>
        </row>
        <row r="727">
          <cell r="D727">
            <v>132</v>
          </cell>
        </row>
        <row r="727">
          <cell r="I727">
            <v>2058</v>
          </cell>
        </row>
        <row r="728">
          <cell r="D728">
            <v>133</v>
          </cell>
        </row>
        <row r="728">
          <cell r="I728">
            <v>2098</v>
          </cell>
        </row>
        <row r="729">
          <cell r="D729">
            <v>134</v>
          </cell>
        </row>
        <row r="729">
          <cell r="I729">
            <v>2138</v>
          </cell>
        </row>
        <row r="730">
          <cell r="D730">
            <v>135</v>
          </cell>
        </row>
        <row r="730">
          <cell r="I730">
            <v>2178</v>
          </cell>
        </row>
        <row r="731">
          <cell r="D731">
            <v>136</v>
          </cell>
        </row>
        <row r="731">
          <cell r="I731">
            <v>2223</v>
          </cell>
        </row>
        <row r="732">
          <cell r="D732">
            <v>137</v>
          </cell>
        </row>
        <row r="732">
          <cell r="I732">
            <v>2268</v>
          </cell>
        </row>
        <row r="733">
          <cell r="D733">
            <v>138</v>
          </cell>
        </row>
        <row r="733">
          <cell r="I733">
            <v>2313</v>
          </cell>
        </row>
        <row r="734">
          <cell r="D734">
            <v>139</v>
          </cell>
        </row>
        <row r="734">
          <cell r="I734">
            <v>2358</v>
          </cell>
        </row>
        <row r="735">
          <cell r="D735">
            <v>140</v>
          </cell>
        </row>
        <row r="735">
          <cell r="I735">
            <v>2403</v>
          </cell>
        </row>
        <row r="736">
          <cell r="D736">
            <v>141</v>
          </cell>
        </row>
        <row r="736">
          <cell r="I736">
            <v>2448</v>
          </cell>
        </row>
        <row r="737">
          <cell r="D737">
            <v>142</v>
          </cell>
        </row>
        <row r="737">
          <cell r="I737">
            <v>2493</v>
          </cell>
        </row>
        <row r="738">
          <cell r="D738">
            <v>143</v>
          </cell>
        </row>
        <row r="738">
          <cell r="I738">
            <v>2538</v>
          </cell>
        </row>
        <row r="739">
          <cell r="D739">
            <v>144</v>
          </cell>
        </row>
        <row r="739">
          <cell r="I739">
            <v>2583</v>
          </cell>
        </row>
        <row r="740">
          <cell r="D740">
            <v>145</v>
          </cell>
        </row>
        <row r="740">
          <cell r="I740">
            <v>2628</v>
          </cell>
        </row>
        <row r="741">
          <cell r="D741">
            <v>146</v>
          </cell>
        </row>
        <row r="741">
          <cell r="I741">
            <v>2678</v>
          </cell>
        </row>
        <row r="742">
          <cell r="D742">
            <v>147</v>
          </cell>
        </row>
        <row r="742">
          <cell r="I742">
            <v>2728</v>
          </cell>
        </row>
        <row r="743">
          <cell r="D743">
            <v>148</v>
          </cell>
        </row>
        <row r="743">
          <cell r="I743">
            <v>2778</v>
          </cell>
        </row>
        <row r="744">
          <cell r="D744">
            <v>149</v>
          </cell>
        </row>
        <row r="744">
          <cell r="I744">
            <v>2828</v>
          </cell>
        </row>
        <row r="745">
          <cell r="D745">
            <v>150</v>
          </cell>
        </row>
        <row r="745">
          <cell r="I745">
            <v>2878</v>
          </cell>
        </row>
        <row r="746">
          <cell r="D746">
            <v>151</v>
          </cell>
        </row>
        <row r="746">
          <cell r="I746">
            <v>2928</v>
          </cell>
        </row>
        <row r="747">
          <cell r="D747">
            <v>152</v>
          </cell>
        </row>
        <row r="747">
          <cell r="I747">
            <v>2978</v>
          </cell>
        </row>
        <row r="748">
          <cell r="D748">
            <v>153</v>
          </cell>
        </row>
        <row r="748">
          <cell r="I748">
            <v>3028</v>
          </cell>
        </row>
        <row r="749">
          <cell r="D749">
            <v>154</v>
          </cell>
        </row>
        <row r="749">
          <cell r="I749">
            <v>3078</v>
          </cell>
        </row>
        <row r="750">
          <cell r="D750">
            <v>155</v>
          </cell>
        </row>
        <row r="750">
          <cell r="I750">
            <v>3128</v>
          </cell>
        </row>
        <row r="751">
          <cell r="D751">
            <v>156</v>
          </cell>
        </row>
        <row r="751">
          <cell r="I751">
            <v>3183</v>
          </cell>
        </row>
        <row r="752">
          <cell r="D752">
            <v>157</v>
          </cell>
        </row>
        <row r="752">
          <cell r="I752">
            <v>3238</v>
          </cell>
        </row>
        <row r="753">
          <cell r="D753">
            <v>158</v>
          </cell>
        </row>
        <row r="753">
          <cell r="I753">
            <v>3293</v>
          </cell>
        </row>
        <row r="754">
          <cell r="D754">
            <v>159</v>
          </cell>
        </row>
        <row r="754">
          <cell r="I754">
            <v>3348</v>
          </cell>
        </row>
        <row r="755">
          <cell r="D755">
            <v>160</v>
          </cell>
        </row>
        <row r="755">
          <cell r="I755">
            <v>3403</v>
          </cell>
        </row>
        <row r="756">
          <cell r="D756">
            <v>161</v>
          </cell>
        </row>
        <row r="756">
          <cell r="I756">
            <v>3458</v>
          </cell>
        </row>
        <row r="757">
          <cell r="D757">
            <v>162</v>
          </cell>
        </row>
        <row r="757">
          <cell r="I757">
            <v>3513</v>
          </cell>
        </row>
        <row r="758">
          <cell r="D758">
            <v>163</v>
          </cell>
        </row>
        <row r="758">
          <cell r="I758">
            <v>3568</v>
          </cell>
        </row>
        <row r="759">
          <cell r="D759">
            <v>164</v>
          </cell>
        </row>
        <row r="759">
          <cell r="I759">
            <v>3623</v>
          </cell>
        </row>
        <row r="760">
          <cell r="D760">
            <v>165</v>
          </cell>
        </row>
        <row r="760">
          <cell r="I760">
            <v>3678</v>
          </cell>
        </row>
        <row r="761">
          <cell r="D761">
            <v>166</v>
          </cell>
        </row>
        <row r="761">
          <cell r="I761">
            <v>3738</v>
          </cell>
        </row>
        <row r="762">
          <cell r="D762">
            <v>167</v>
          </cell>
        </row>
        <row r="762">
          <cell r="I762">
            <v>3798</v>
          </cell>
        </row>
        <row r="763">
          <cell r="D763">
            <v>168</v>
          </cell>
        </row>
        <row r="763">
          <cell r="I763">
            <v>3858</v>
          </cell>
        </row>
        <row r="764">
          <cell r="D764">
            <v>169</v>
          </cell>
        </row>
        <row r="764">
          <cell r="I764">
            <v>3918</v>
          </cell>
        </row>
        <row r="765">
          <cell r="D765">
            <v>170</v>
          </cell>
        </row>
        <row r="765">
          <cell r="I765">
            <v>3978</v>
          </cell>
        </row>
        <row r="766">
          <cell r="D766">
            <v>171</v>
          </cell>
        </row>
        <row r="766">
          <cell r="I766">
            <v>4038</v>
          </cell>
        </row>
        <row r="767">
          <cell r="D767">
            <v>172</v>
          </cell>
        </row>
        <row r="767">
          <cell r="I767">
            <v>4098</v>
          </cell>
        </row>
        <row r="768">
          <cell r="D768">
            <v>173</v>
          </cell>
        </row>
        <row r="768">
          <cell r="I768">
            <v>4158</v>
          </cell>
        </row>
        <row r="769">
          <cell r="D769">
            <v>174</v>
          </cell>
        </row>
        <row r="769">
          <cell r="I769">
            <v>4218</v>
          </cell>
        </row>
        <row r="770">
          <cell r="D770">
            <v>175</v>
          </cell>
        </row>
        <row r="770">
          <cell r="I770">
            <v>4278</v>
          </cell>
        </row>
        <row r="771">
          <cell r="D771">
            <v>176</v>
          </cell>
        </row>
        <row r="771">
          <cell r="I771">
            <v>4343</v>
          </cell>
        </row>
        <row r="772">
          <cell r="D772">
            <v>177</v>
          </cell>
        </row>
        <row r="772">
          <cell r="I772">
            <v>4408</v>
          </cell>
        </row>
        <row r="773">
          <cell r="D773">
            <v>178</v>
          </cell>
        </row>
        <row r="773">
          <cell r="I773">
            <v>4473</v>
          </cell>
        </row>
        <row r="774">
          <cell r="D774">
            <v>179</v>
          </cell>
        </row>
        <row r="774">
          <cell r="I774">
            <v>4538</v>
          </cell>
        </row>
        <row r="775">
          <cell r="D775">
            <v>180</v>
          </cell>
        </row>
        <row r="775">
          <cell r="I775">
            <v>4603</v>
          </cell>
        </row>
        <row r="776">
          <cell r="D776">
            <v>181</v>
          </cell>
        </row>
        <row r="776">
          <cell r="I776">
            <v>4668</v>
          </cell>
        </row>
        <row r="777">
          <cell r="D777">
            <v>182</v>
          </cell>
        </row>
        <row r="777">
          <cell r="I777">
            <v>4733</v>
          </cell>
        </row>
        <row r="778">
          <cell r="D778">
            <v>183</v>
          </cell>
        </row>
        <row r="778">
          <cell r="I778">
            <v>4798</v>
          </cell>
        </row>
        <row r="779">
          <cell r="D779">
            <v>184</v>
          </cell>
        </row>
        <row r="779">
          <cell r="I779">
            <v>4863</v>
          </cell>
        </row>
        <row r="780">
          <cell r="D780">
            <v>185</v>
          </cell>
        </row>
        <row r="780">
          <cell r="I780">
            <v>4928</v>
          </cell>
        </row>
        <row r="781">
          <cell r="D781">
            <v>186</v>
          </cell>
        </row>
        <row r="781">
          <cell r="I781">
            <v>4998</v>
          </cell>
        </row>
        <row r="782">
          <cell r="D782">
            <v>187</v>
          </cell>
        </row>
        <row r="782">
          <cell r="I782">
            <v>5068</v>
          </cell>
        </row>
        <row r="783">
          <cell r="D783">
            <v>188</v>
          </cell>
        </row>
        <row r="783">
          <cell r="I783">
            <v>5138</v>
          </cell>
        </row>
        <row r="784">
          <cell r="D784">
            <v>189</v>
          </cell>
        </row>
        <row r="784">
          <cell r="I784">
            <v>5208</v>
          </cell>
        </row>
        <row r="785">
          <cell r="D785">
            <v>190</v>
          </cell>
        </row>
        <row r="785">
          <cell r="I785">
            <v>5278</v>
          </cell>
        </row>
        <row r="786">
          <cell r="D786">
            <v>191</v>
          </cell>
        </row>
        <row r="786">
          <cell r="I786">
            <v>5348</v>
          </cell>
        </row>
        <row r="787">
          <cell r="D787">
            <v>192</v>
          </cell>
        </row>
        <row r="787">
          <cell r="I787">
            <v>5418</v>
          </cell>
        </row>
        <row r="788">
          <cell r="D788">
            <v>193</v>
          </cell>
        </row>
        <row r="788">
          <cell r="I788">
            <v>5488</v>
          </cell>
        </row>
        <row r="789">
          <cell r="D789">
            <v>194</v>
          </cell>
        </row>
        <row r="789">
          <cell r="I789">
            <v>5558</v>
          </cell>
        </row>
        <row r="790">
          <cell r="D790">
            <v>195</v>
          </cell>
        </row>
        <row r="790">
          <cell r="I790">
            <v>5628</v>
          </cell>
        </row>
        <row r="791">
          <cell r="D791">
            <v>196</v>
          </cell>
        </row>
        <row r="791">
          <cell r="I791">
            <v>5703</v>
          </cell>
        </row>
        <row r="792">
          <cell r="D792">
            <v>197</v>
          </cell>
        </row>
        <row r="792">
          <cell r="I792">
            <v>5778</v>
          </cell>
        </row>
        <row r="793">
          <cell r="D793">
            <v>198</v>
          </cell>
        </row>
        <row r="793">
          <cell r="I793">
            <v>5853</v>
          </cell>
        </row>
        <row r="794">
          <cell r="D794">
            <v>199</v>
          </cell>
        </row>
        <row r="794">
          <cell r="I794">
            <v>5928</v>
          </cell>
        </row>
        <row r="795">
          <cell r="D795">
            <v>200</v>
          </cell>
        </row>
        <row r="795">
          <cell r="I795">
            <v>6003</v>
          </cell>
        </row>
        <row r="796">
          <cell r="D796">
            <v>201</v>
          </cell>
        </row>
        <row r="796">
          <cell r="I796">
            <v>6078</v>
          </cell>
        </row>
        <row r="797">
          <cell r="D797">
            <v>202</v>
          </cell>
        </row>
        <row r="797">
          <cell r="I797">
            <v>6153</v>
          </cell>
        </row>
        <row r="798">
          <cell r="D798">
            <v>203</v>
          </cell>
        </row>
        <row r="798">
          <cell r="I798">
            <v>6228</v>
          </cell>
        </row>
        <row r="799">
          <cell r="D799">
            <v>204</v>
          </cell>
        </row>
        <row r="799">
          <cell r="I799">
            <v>6303</v>
          </cell>
        </row>
        <row r="800">
          <cell r="D800">
            <v>205</v>
          </cell>
        </row>
        <row r="800">
          <cell r="I800">
            <v>6378</v>
          </cell>
        </row>
        <row r="801">
          <cell r="D801">
            <v>206</v>
          </cell>
        </row>
        <row r="801">
          <cell r="I801">
            <v>6458</v>
          </cell>
        </row>
        <row r="802">
          <cell r="D802">
            <v>207</v>
          </cell>
        </row>
        <row r="802">
          <cell r="I802">
            <v>6538</v>
          </cell>
        </row>
        <row r="803">
          <cell r="D803">
            <v>208</v>
          </cell>
        </row>
        <row r="803">
          <cell r="I803">
            <v>6618</v>
          </cell>
        </row>
        <row r="804">
          <cell r="D804">
            <v>209</v>
          </cell>
        </row>
        <row r="804">
          <cell r="I804">
            <v>6698</v>
          </cell>
        </row>
        <row r="805">
          <cell r="D805">
            <v>210</v>
          </cell>
        </row>
        <row r="805">
          <cell r="I805">
            <v>6778</v>
          </cell>
        </row>
        <row r="806">
          <cell r="D806">
            <v>211</v>
          </cell>
        </row>
        <row r="806">
          <cell r="I806">
            <v>6858</v>
          </cell>
        </row>
        <row r="807">
          <cell r="D807">
            <v>212</v>
          </cell>
        </row>
        <row r="807">
          <cell r="I807">
            <v>6938</v>
          </cell>
        </row>
        <row r="808">
          <cell r="D808">
            <v>213</v>
          </cell>
        </row>
        <row r="808">
          <cell r="I808">
            <v>7018</v>
          </cell>
        </row>
        <row r="809">
          <cell r="D809">
            <v>214</v>
          </cell>
        </row>
        <row r="809">
          <cell r="I809">
            <v>7098</v>
          </cell>
        </row>
        <row r="810">
          <cell r="D810">
            <v>215</v>
          </cell>
        </row>
        <row r="810">
          <cell r="I810">
            <v>7178</v>
          </cell>
        </row>
        <row r="811">
          <cell r="D811">
            <v>216</v>
          </cell>
        </row>
        <row r="811">
          <cell r="I811">
            <v>7263</v>
          </cell>
        </row>
        <row r="812">
          <cell r="D812">
            <v>217</v>
          </cell>
        </row>
        <row r="812">
          <cell r="I812">
            <v>7348</v>
          </cell>
        </row>
        <row r="813">
          <cell r="D813">
            <v>218</v>
          </cell>
        </row>
        <row r="813">
          <cell r="I813">
            <v>7433</v>
          </cell>
        </row>
        <row r="814">
          <cell r="D814">
            <v>219</v>
          </cell>
        </row>
        <row r="814">
          <cell r="I814">
            <v>7518</v>
          </cell>
        </row>
        <row r="815">
          <cell r="D815">
            <v>220</v>
          </cell>
        </row>
        <row r="815">
          <cell r="I815">
            <v>7603</v>
          </cell>
        </row>
        <row r="816">
          <cell r="D816">
            <v>221</v>
          </cell>
        </row>
        <row r="816">
          <cell r="I816">
            <v>7688</v>
          </cell>
        </row>
        <row r="817">
          <cell r="D817">
            <v>222</v>
          </cell>
        </row>
        <row r="817">
          <cell r="I817">
            <v>7773</v>
          </cell>
        </row>
        <row r="818">
          <cell r="D818">
            <v>223</v>
          </cell>
        </row>
        <row r="818">
          <cell r="I818">
            <v>7858</v>
          </cell>
        </row>
        <row r="819">
          <cell r="D819">
            <v>224</v>
          </cell>
        </row>
        <row r="819">
          <cell r="I819">
            <v>7943</v>
          </cell>
        </row>
        <row r="820">
          <cell r="D820">
            <v>225</v>
          </cell>
        </row>
        <row r="820">
          <cell r="I820">
            <v>8028</v>
          </cell>
        </row>
        <row r="821">
          <cell r="D821">
            <v>226</v>
          </cell>
        </row>
        <row r="821">
          <cell r="I821">
            <v>8118</v>
          </cell>
        </row>
        <row r="822">
          <cell r="D822">
            <v>227</v>
          </cell>
        </row>
        <row r="822">
          <cell r="I822">
            <v>8208</v>
          </cell>
        </row>
        <row r="823">
          <cell r="D823">
            <v>228</v>
          </cell>
        </row>
        <row r="823">
          <cell r="I823">
            <v>8298</v>
          </cell>
        </row>
        <row r="824">
          <cell r="D824">
            <v>229</v>
          </cell>
        </row>
        <row r="824">
          <cell r="I824">
            <v>8388</v>
          </cell>
        </row>
        <row r="825">
          <cell r="D825">
            <v>230</v>
          </cell>
        </row>
        <row r="825">
          <cell r="I825">
            <v>8478</v>
          </cell>
        </row>
        <row r="826">
          <cell r="D826">
            <v>231</v>
          </cell>
        </row>
        <row r="826">
          <cell r="I826">
            <v>8568</v>
          </cell>
        </row>
        <row r="827">
          <cell r="D827">
            <v>232</v>
          </cell>
        </row>
        <row r="827">
          <cell r="I827">
            <v>8658</v>
          </cell>
        </row>
        <row r="828">
          <cell r="D828">
            <v>233</v>
          </cell>
        </row>
        <row r="828">
          <cell r="I828">
            <v>8748</v>
          </cell>
        </row>
        <row r="829">
          <cell r="D829">
            <v>234</v>
          </cell>
        </row>
        <row r="829">
          <cell r="I829">
            <v>8838</v>
          </cell>
        </row>
        <row r="830">
          <cell r="D830">
            <v>235</v>
          </cell>
        </row>
        <row r="830">
          <cell r="I830">
            <v>8928</v>
          </cell>
        </row>
        <row r="831">
          <cell r="D831">
            <v>236</v>
          </cell>
        </row>
        <row r="831">
          <cell r="I831">
            <v>9023</v>
          </cell>
        </row>
        <row r="832">
          <cell r="D832">
            <v>237</v>
          </cell>
        </row>
        <row r="832">
          <cell r="I832">
            <v>9118</v>
          </cell>
        </row>
        <row r="833">
          <cell r="D833">
            <v>238</v>
          </cell>
        </row>
        <row r="833">
          <cell r="I833">
            <v>9213</v>
          </cell>
        </row>
        <row r="834">
          <cell r="D834">
            <v>239</v>
          </cell>
        </row>
        <row r="834">
          <cell r="I834">
            <v>9308</v>
          </cell>
        </row>
        <row r="835">
          <cell r="D835">
            <v>240</v>
          </cell>
        </row>
        <row r="835">
          <cell r="I835">
            <v>9403</v>
          </cell>
        </row>
        <row r="836">
          <cell r="D836">
            <v>241</v>
          </cell>
        </row>
        <row r="836">
          <cell r="I836">
            <v>9498</v>
          </cell>
        </row>
        <row r="837">
          <cell r="D837">
            <v>242</v>
          </cell>
        </row>
        <row r="837">
          <cell r="I837">
            <v>9593</v>
          </cell>
        </row>
        <row r="838">
          <cell r="D838">
            <v>243</v>
          </cell>
        </row>
        <row r="838">
          <cell r="I838">
            <v>9688</v>
          </cell>
        </row>
        <row r="839">
          <cell r="D839">
            <v>244</v>
          </cell>
        </row>
        <row r="839">
          <cell r="I839">
            <v>9783</v>
          </cell>
        </row>
        <row r="840">
          <cell r="D840">
            <v>245</v>
          </cell>
        </row>
        <row r="840">
          <cell r="I840">
            <v>9878</v>
          </cell>
        </row>
        <row r="841">
          <cell r="D841">
            <v>246</v>
          </cell>
        </row>
        <row r="841">
          <cell r="I841">
            <v>9978</v>
          </cell>
        </row>
        <row r="842">
          <cell r="D842">
            <v>247</v>
          </cell>
        </row>
        <row r="842">
          <cell r="I842">
            <v>10078</v>
          </cell>
        </row>
        <row r="843">
          <cell r="D843">
            <v>248</v>
          </cell>
        </row>
        <row r="843">
          <cell r="I843">
            <v>10178</v>
          </cell>
        </row>
        <row r="844">
          <cell r="D844">
            <v>249</v>
          </cell>
        </row>
        <row r="844">
          <cell r="I844">
            <v>10278</v>
          </cell>
        </row>
        <row r="845">
          <cell r="D845">
            <v>250</v>
          </cell>
        </row>
        <row r="845">
          <cell r="I845">
            <v>10378</v>
          </cell>
        </row>
        <row r="846">
          <cell r="D846">
            <v>251</v>
          </cell>
        </row>
        <row r="846">
          <cell r="I846">
            <v>10478</v>
          </cell>
        </row>
        <row r="847">
          <cell r="D847">
            <v>252</v>
          </cell>
        </row>
        <row r="847">
          <cell r="I847">
            <v>10578</v>
          </cell>
        </row>
        <row r="848">
          <cell r="D848">
            <v>253</v>
          </cell>
        </row>
        <row r="848">
          <cell r="I848">
            <v>10678</v>
          </cell>
        </row>
        <row r="849">
          <cell r="D849">
            <v>254</v>
          </cell>
        </row>
        <row r="849">
          <cell r="I849">
            <v>10778</v>
          </cell>
        </row>
        <row r="850">
          <cell r="D850">
            <v>255</v>
          </cell>
        </row>
        <row r="850">
          <cell r="I850">
            <v>10878</v>
          </cell>
        </row>
        <row r="851">
          <cell r="D851">
            <v>256</v>
          </cell>
        </row>
        <row r="851">
          <cell r="I851">
            <v>10983</v>
          </cell>
        </row>
        <row r="852">
          <cell r="D852">
            <v>257</v>
          </cell>
        </row>
        <row r="852">
          <cell r="I852">
            <v>11088</v>
          </cell>
        </row>
        <row r="853">
          <cell r="D853">
            <v>258</v>
          </cell>
        </row>
        <row r="853">
          <cell r="I853">
            <v>11193</v>
          </cell>
        </row>
        <row r="854">
          <cell r="D854">
            <v>259</v>
          </cell>
        </row>
        <row r="854">
          <cell r="I854">
            <v>11298</v>
          </cell>
        </row>
        <row r="855">
          <cell r="D855">
            <v>260</v>
          </cell>
        </row>
        <row r="855">
          <cell r="I855">
            <v>11403</v>
          </cell>
        </row>
        <row r="856">
          <cell r="D856">
            <v>261</v>
          </cell>
        </row>
        <row r="856">
          <cell r="I856">
            <v>11508</v>
          </cell>
        </row>
        <row r="857">
          <cell r="D857">
            <v>262</v>
          </cell>
        </row>
        <row r="857">
          <cell r="I857">
            <v>11613</v>
          </cell>
        </row>
        <row r="858">
          <cell r="D858">
            <v>263</v>
          </cell>
        </row>
        <row r="858">
          <cell r="I858">
            <v>11718</v>
          </cell>
        </row>
        <row r="859">
          <cell r="D859">
            <v>264</v>
          </cell>
        </row>
        <row r="859">
          <cell r="I859">
            <v>11823</v>
          </cell>
        </row>
        <row r="860">
          <cell r="D860">
            <v>265</v>
          </cell>
        </row>
        <row r="860">
          <cell r="I860">
            <v>11928</v>
          </cell>
        </row>
        <row r="861">
          <cell r="D861">
            <v>266</v>
          </cell>
        </row>
        <row r="861">
          <cell r="I861">
            <v>12038</v>
          </cell>
        </row>
        <row r="862">
          <cell r="D862">
            <v>267</v>
          </cell>
        </row>
        <row r="862">
          <cell r="I862">
            <v>12148</v>
          </cell>
        </row>
        <row r="863">
          <cell r="D863">
            <v>268</v>
          </cell>
        </row>
        <row r="863">
          <cell r="I863">
            <v>12258</v>
          </cell>
        </row>
        <row r="864">
          <cell r="D864">
            <v>269</v>
          </cell>
        </row>
        <row r="864">
          <cell r="I864">
            <v>12368</v>
          </cell>
        </row>
        <row r="865">
          <cell r="D865">
            <v>270</v>
          </cell>
        </row>
        <row r="865">
          <cell r="I865">
            <v>12478</v>
          </cell>
        </row>
        <row r="866">
          <cell r="D866">
            <v>271</v>
          </cell>
        </row>
        <row r="866">
          <cell r="I866">
            <v>12588</v>
          </cell>
        </row>
        <row r="867">
          <cell r="D867">
            <v>272</v>
          </cell>
        </row>
        <row r="867">
          <cell r="I867">
            <v>12698</v>
          </cell>
        </row>
        <row r="868">
          <cell r="D868">
            <v>273</v>
          </cell>
        </row>
        <row r="868">
          <cell r="I868">
            <v>12808</v>
          </cell>
        </row>
        <row r="869">
          <cell r="D869">
            <v>274</v>
          </cell>
        </row>
        <row r="869">
          <cell r="I869">
            <v>12918</v>
          </cell>
        </row>
        <row r="870">
          <cell r="D870">
            <v>275</v>
          </cell>
        </row>
        <row r="870">
          <cell r="I870">
            <v>13028</v>
          </cell>
        </row>
      </sheetData>
      <sheetData sheetId="3"/>
      <sheetData sheetId="4"/>
      <sheetData sheetId="5"/>
      <sheetData sheetId="6"/>
      <sheetData sheetId="7"/>
      <sheetData sheetId="8"/>
      <sheetData sheetId="9"/>
    </sheetDataSet>
  </externalBook>
</externalLink>
</file>

<file path=xl/tables/table1.xml><?xml version="1.0" encoding="utf-8"?>
<table xmlns="http://schemas.openxmlformats.org/spreadsheetml/2006/main" id="2" name="战斗公式设计思路" displayName="战斗公式设计思路" ref="D4:E9" totalsRowShown="0">
  <tableColumns count="2">
    <tableColumn id="1" name="ID" dataDxfId="0"/>
    <tableColumn id="2" name="设计思路" dataDxfId="1"/>
  </tableColumns>
  <tableStyleInfo name="TableStylePreset3_Accent1" showFirstColumn="0" showLastColumn="0" showRowStripes="0" showColumnStripes="0"/>
</table>
</file>

<file path=xl/tables/table2.xml><?xml version="1.0" encoding="utf-8"?>
<table xmlns="http://schemas.openxmlformats.org/spreadsheetml/2006/main" id="3" name="战斗属性和战力" displayName="战斗属性和战力" ref="D85:H133" totalsRowShown="0">
  <tableColumns count="5">
    <tableColumn id="1" name="属性ID" dataDxfId="2"/>
    <tableColumn id="2" name="属性名称" dataDxfId="3"/>
    <tableColumn id="3" name="因子" dataDxfId="4"/>
    <tableColumn id="4" name="属性类型" dataDxfId="5"/>
    <tableColumn id="5" name="战力评分" dataDxfId="6"/>
  </tableColumns>
  <tableStyleInfo name="TableStylePreset3_Accent1" showFirstColumn="0" showLastColumn="0" showRowStripes="0" showColumnStripes="0"/>
</table>
</file>

<file path=xl/tables/table3.xml><?xml version="1.0" encoding="utf-8"?>
<table xmlns="http://schemas.openxmlformats.org/spreadsheetml/2006/main" id="4" name="战力系数演算" displayName="战力系数演算" ref="D139:U154" totalsRowShown="0">
  <tableColumns count="18">
    <tableColumn id="1" name="基础战力构造" dataDxfId="7"/>
    <tableColumn id="2" name="列1" dataDxfId="8"/>
    <tableColumn id="3" name="怪物生命" dataDxfId="9"/>
    <tableColumn id="4" name="攻击" dataDxfId="10"/>
    <tableColumn id="5" name="伤害加成" dataDxfId="11"/>
    <tableColumn id="6" name="暴击伤害" dataDxfId="12"/>
    <tableColumn id="7" name="技能倍率" dataDxfId="13"/>
    <tableColumn id="8" name="等级系数" dataDxfId="14"/>
    <tableColumn id="9" name="梦灵增伤" dataDxfId="15"/>
    <tableColumn id="10" name="怪物增伤" dataDxfId="16"/>
    <tableColumn id="11" name="机制增伤" dataDxfId="17"/>
    <tableColumn id="12" name="最终增伤" dataDxfId="18"/>
    <tableColumn id="13" name="暴击率" dataDxfId="19"/>
    <tableColumn id="14" name="预留增伤" dataDxfId="20"/>
    <tableColumn id="15" name="主角攻击" dataDxfId="21"/>
    <tableColumn id="16" name="主角暴击" dataDxfId="22"/>
    <tableColumn id="17" name="技能倍率2" dataDxfId="23"/>
    <tableColumn id="18" name="主角伤害加成" dataDxfId="24"/>
  </tableColumns>
  <tableStyleInfo name="TableStylePreset3_Accent1" showFirstColumn="0" showLastColumn="0" showRowStripes="0" showColumnStripes="0"/>
</table>
</file>

<file path=xl/tables/table4.xml><?xml version="1.0" encoding="utf-8"?>
<table xmlns="http://schemas.openxmlformats.org/spreadsheetml/2006/main" id="1" name="养成练度设计" displayName="养成练度设计" ref="D63:W96" totalsRowShown="0">
  <tableColumns count="20">
    <tableColumn id="1" name="天数" dataDxfId="25"/>
    <tableColumn id="2" name="主线进度" dataDxfId="26"/>
    <tableColumn id="3" name="每日关卡数" dataDxfId="27"/>
    <tableColumn id="4" name="品质" dataDxfId="28"/>
    <tableColumn id="5" name="蓝英雄" dataDxfId="29"/>
    <tableColumn id="6" name="紫英雄" dataDxfId="30"/>
    <tableColumn id="7" name="橙英雄" dataDxfId="31"/>
    <tableColumn id="8" name="红英雄" dataDxfId="32"/>
    <tableColumn id="9" name="宝石解锁" dataDxfId="33"/>
    <tableColumn id="10" name="宝石品质" dataDxfId="34"/>
    <tableColumn id="11" name="基础倍率" dataDxfId="35"/>
    <tableColumn id="12" name="英雄期望倍率" dataDxfId="36"/>
    <tableColumn id="13" name="宝石期望倍率" dataDxfId="37"/>
    <tableColumn id="21" name="宝石总倍率" dataDxfId="38"/>
    <tableColumn id="14" name="每日升级" dataDxfId="39"/>
    <tableColumn id="15" name="玩家等级" dataDxfId="40"/>
    <tableColumn id="17" name="装备等级" dataDxfId="41"/>
    <tableColumn id="18" name="装备强化" dataDxfId="42"/>
    <tableColumn id="19" name="装备品质" dataDxfId="43"/>
    <tableColumn id="16" name="基因节点" dataDxfId="44"/>
  </tableColumns>
  <tableStyleInfo name="TableStylePreset3_Accent1" showFirstColumn="0" showLastColumn="0" showRowStripes="0" showColumnStripes="0"/>
</table>
</file>

<file path=xl/tables/table5.xml><?xml version="1.0" encoding="utf-8"?>
<table xmlns="http://schemas.openxmlformats.org/spreadsheetml/2006/main" id="5" name="养成框架类型思路" displayName="养成框架类型思路" ref="D3:E6" totalsRowShown="0">
  <tableColumns count="2">
    <tableColumn id="1" name="类型ID" dataDxfId="45"/>
    <tableColumn id="2" name="定义" dataDxfId="46"/>
  </tableColumns>
  <tableStyleInfo name="TableStylePreset3_Accent1" showFirstColumn="0" showLastColumn="0" showRowStripes="1" showColumnStripes="0"/>
</table>
</file>

<file path=xl/tables/table6.xml><?xml version="1.0" encoding="utf-8"?>
<table xmlns="http://schemas.openxmlformats.org/spreadsheetml/2006/main" id="6" name="养成模块思路设计_旧表" displayName="养成模块思路设计_旧表" ref="D8:L17" totalsRowShown="0">
  <tableColumns count="9">
    <tableColumn id="1" name="养成模块" dataDxfId="47"/>
    <tableColumn id="2" name="养成点" dataDxfId="48"/>
    <tableColumn id="3" name="开启时机" dataDxfId="49"/>
    <tableColumn id="4" name="简述" dataDxfId="50"/>
    <tableColumn id="5" name="商业化定位" dataDxfId="51"/>
    <tableColumn id="6" name="付费层级" dataDxfId="52"/>
    <tableColumn id="7" name=" 养成定位" dataDxfId="53"/>
    <tableColumn id="8" name="战斗影响" dataDxfId="54"/>
    <tableColumn id="9" name="主要获取途径" dataDxfId="55"/>
  </tableColumns>
  <tableStyleInfo name="TableStylePreset3_Accent1" showFirstColumn="0" showLastColumn="0" showRowStripes="1" showColumnStripes="0"/>
</table>
</file>

<file path=xl/tables/table7.xml><?xml version="1.0" encoding="utf-8"?>
<table xmlns="http://schemas.openxmlformats.org/spreadsheetml/2006/main" id="7" name="养成步长思路设计" displayName="养成步长思路设计" ref="D20:E31" totalsRowShown="0">
  <tableColumns count="2">
    <tableColumn id="1" name="ID" dataDxfId="56"/>
    <tableColumn id="2" name="养成步长思路" dataDxfId="57"/>
  </tableColumns>
  <tableStyleInfo name="TableStylePreset3_Accent1" showFirstColumn="0" showLastColumn="0" showRowStripes="0" showColumnStripes="0"/>
</table>
</file>

<file path=xl/tables/table8.xml><?xml version="1.0" encoding="utf-8"?>
<table xmlns="http://schemas.openxmlformats.org/spreadsheetml/2006/main" id="8" name="养成总属性规划" displayName="养成总属性规划" ref="D104:N138" totalsRowShown="0">
  <tableColumns count="11">
    <tableColumn id="1" name="天数" dataDxfId="58"/>
    <tableColumn id="2" name="主线进度" dataDxfId="59">
      <calculatedColumnFormula>INT(E64)</calculatedColumnFormula>
    </tableColumn>
    <tableColumn id="3" name="关卡成长" dataDxfId="60"/>
    <tableColumn id="4" name="每阶段" dataDxfId="61"/>
    <tableColumn id="5" name="攻击力" dataDxfId="62"/>
    <tableColumn id="6" name="每日成长" dataDxfId="63"/>
    <tableColumn id="7" name="应有的总的倍率" dataDxfId="64"/>
    <tableColumn id="8" name="每日倍率" dataDxfId="65"/>
    <tableColumn id="9" name="实际倍率" dataDxfId="66"/>
    <tableColumn id="10" name="单日成长" dataDxfId="67"/>
    <tableColumn id="11" name="单日倍率成长" dataDxfId="68"/>
  </tableColumns>
  <tableStyleInfo name="TableStylePreset3_Accent1" showFirstColumn="0" showLastColumn="0" showRowStripes="0" showColumnStripes="0"/>
</table>
</file>

<file path=xl/tables/table9.xml><?xml version="1.0" encoding="utf-8"?>
<table xmlns="http://schemas.openxmlformats.org/spreadsheetml/2006/main" id="9" name="养成系统强度预期" displayName="养成系统强度预期" ref="D148:Z181" totalsRowShown="0">
  <tableColumns count="23">
    <tableColumn id="1" name="天数" dataDxfId="69"/>
    <tableColumn id="2" name="主线进度" dataDxfId="70"/>
    <tableColumn id="3" name="属性" dataDxfId="71">
      <calculatedColumnFormula>H105</calculatedColumnFormula>
    </tableColumn>
    <tableColumn id="4" name="装备品质" dataDxfId="72"/>
    <tableColumn id="5" name="装备+品质" dataDxfId="73"/>
    <tableColumn id="6" name="装备强化" dataDxfId="74"/>
    <tableColumn id="23" name="洗练属性占比" dataDxfId="75">
      <calculatedColumnFormula>O149/F149</calculatedColumnFormula>
    </tableColumn>
    <tableColumn id="7" name="符文" dataDxfId="76"/>
    <tableColumn id="8" name="总量" dataDxfId="77">
      <calculatedColumnFormula>SUM(H149:K149)</calculatedColumnFormula>
    </tableColumn>
    <tableColumn id="9" name="装备属性" dataDxfId="78"/>
    <tableColumn id="10" name="强化属性" dataDxfId="79"/>
    <tableColumn id="22" name="洗练属性" dataDxfId="80">
      <calculatedColumnFormula>F149*J149</calculatedColumnFormula>
    </tableColumn>
    <tableColumn id="11" name="符文属性" dataDxfId="81"/>
    <tableColumn id="12" name="预留" dataDxfId="82">
      <calculatedColumnFormula>H149+I149+K149+J149</calculatedColumnFormula>
    </tableColumn>
    <tableColumn id="13" name="总倍率" dataDxfId="83"/>
    <tableColumn id="14" name="基础倍率" dataDxfId="84"/>
    <tableColumn id="15" name="基因养成" dataDxfId="85"/>
    <tableColumn id="16" name="装备养成" dataDxfId="86"/>
    <tableColumn id="17" name="英雄品质" dataDxfId="87"/>
    <tableColumn id="18" name="英雄" dataDxfId="88"/>
    <tableColumn id="19" name="宝石" dataDxfId="89"/>
    <tableColumn id="20" name="宝石品质" dataDxfId="90"/>
    <tableColumn id="21" name="单宝石期望强度" dataDxfId="91"/>
  </tableColumns>
  <tableStyleInfo name="TableStylePreset3_Accent1" showFirstColumn="0" showLastColumn="0" showRowStripes="0" showColumnStripes="0"/>
</table>
</file>

<file path=xl/tables/table10.xml><?xml version="1.0" encoding="utf-8"?>
<table xmlns="http://schemas.openxmlformats.org/spreadsheetml/2006/main" id="10" name="关卡养成强度预期" displayName="关卡养成强度预期" ref="D237:Z637" totalsRowShown="0">
  <tableColumns count="23">
    <tableColumn id="1" name="关卡" dataDxfId="92"/>
    <tableColumn id="2" name="期望天数" dataDxfId="93"/>
    <tableColumn id="3" name="成长系数" dataDxfId="94"/>
    <tableColumn id="4" name="节点说明" dataDxfId="95"/>
    <tableColumn id="5" name="关卡生命" dataDxfId="96"/>
    <tableColumn id="6" name="饱和率" dataDxfId="97"/>
    <tableColumn id="7" name="攻击" dataDxfId="98"/>
    <tableColumn id="8" name="伤害加成" dataDxfId="99"/>
    <tableColumn id="9" name="主技能+被动" dataDxfId="100"/>
    <tableColumn id="10" name="升阶技能" dataDxfId="101"/>
    <tableColumn id="11" name="皮肤系数" dataDxfId="102"/>
    <tableColumn id="12" name="卡带加成" dataDxfId="103"/>
    <tableColumn id="13" name="等级系数" dataDxfId="104"/>
    <tableColumn id="14" name="符文攻击" dataDxfId="105"/>
    <tableColumn id="15" name="梦灵增伤" dataDxfId="106"/>
    <tableColumn id="16" name="怪物增伤" dataDxfId="107"/>
    <tableColumn id="17" name="专属符文增伤" dataDxfId="108"/>
    <tableColumn id="18" name="符文最终增伤" dataDxfId="109"/>
    <tableColumn id="19" name="暴击收益" dataDxfId="110"/>
    <tableColumn id="20" name="暴击率" dataDxfId="111"/>
    <tableColumn id="21" name="暴击伤害" dataDxfId="112"/>
    <tableColumn id="22" name="职业/体系增伤" dataDxfId="113"/>
    <tableColumn id="23" name="天数" dataDxfId="114"/>
  </tableColumns>
  <tableStyleInfo name="TableStylePreset3_Accent1" showFirstColumn="0" showLastColumn="0" showRowStripes="0" showColumnStripes="0"/>
</table>
</file>

<file path=xl/tables/table11.xml><?xml version="1.0" encoding="utf-8"?>
<table xmlns="http://schemas.openxmlformats.org/spreadsheetml/2006/main" id="11" name="分R玩家等级汇总表" displayName="分R玩家等级汇总表" ref="D10:H70" totalsRowShown="0">
  <tableColumns count="5">
    <tableColumn id="1" name="天数" dataDxfId="115"/>
    <tableColumn id="2" name="非R" dataDxfId="116"/>
    <tableColumn id="3" name="小R" dataDxfId="117"/>
    <tableColumn id="4" name="中R" dataDxfId="118"/>
    <tableColumn id="5" name="大R" dataDxfId="119"/>
  </tableColumns>
  <tableStyleInfo name="TableStylePreset3_Accent1" showFirstColumn="0" showLastColumn="0" showRowStripes="0" showColumnStripes="0"/>
</table>
</file>

<file path=xl/tables/table12.xml><?xml version="1.0" encoding="utf-8"?>
<table xmlns="http://schemas.openxmlformats.org/spreadsheetml/2006/main" id="12" name="分R玩家关卡汇总表" displayName="分R玩家关卡汇总表" ref="K10:O70" totalsRowShown="0">
  <tableColumns count="5">
    <tableColumn id="1" name="天数" dataDxfId="120"/>
    <tableColumn id="2" name="非R" dataDxfId="121"/>
    <tableColumn id="3" name="小R" dataDxfId="122"/>
    <tableColumn id="4" name="中R" dataDxfId="123"/>
    <tableColumn id="5" name="大R" dataDxfId="124"/>
  </tableColumns>
  <tableStyleInfo name="TableStylePreset3_Accent1" showFirstColumn="0" showLastColumn="0" showRowStripes="0" showColumnStripes="0"/>
</table>
</file>

<file path=xl/tables/table13.xml><?xml version="1.0" encoding="utf-8"?>
<table xmlns="http://schemas.openxmlformats.org/spreadsheetml/2006/main" id="13" name="分R玩家战力汇总表" displayName="分R玩家战力汇总表" ref="D76:H136" totalsRowShown="0">
  <tableColumns count="5">
    <tableColumn id="1" name="天数" dataDxfId="125"/>
    <tableColumn id="2" name="非R" dataDxfId="126"/>
    <tableColumn id="3" name="小R" dataDxfId="127"/>
    <tableColumn id="4" name="中R" dataDxfId="128"/>
    <tableColumn id="5" name="大R" dataDxfId="129"/>
  </tableColumns>
  <tableStyleInfo name="TableStylePreset3_Accent1" showFirstColumn="0" showLastColumn="0" showRowStripes="0" showColumnStripes="0"/>
</table>
</file>

<file path=xl/tables/table14.xml><?xml version="1.0" encoding="utf-8"?>
<table xmlns="http://schemas.openxmlformats.org/spreadsheetml/2006/main" id="14" name="分R玩家强化等级汇总" displayName="分R玩家强化等级汇总" ref="J76:N136" totalsRowShown="0">
  <tableColumns count="5">
    <tableColumn id="1" name="天数" dataDxfId="130"/>
    <tableColumn id="2" name="非R" dataDxfId="131"/>
    <tableColumn id="3" name="小R" dataDxfId="132"/>
    <tableColumn id="4" name="中R" dataDxfId="133"/>
    <tableColumn id="5" name="大R" dataDxfId="134"/>
  </tableColumns>
  <tableStyleInfo name="TableStylePreset3_Accent1" showFirstColumn="0" showLastColumn="0" showRowStripes="0" showColumnStripes="0"/>
</table>
</file>

<file path=xl/tables/table15.xml><?xml version="1.0" encoding="utf-8"?>
<table xmlns="http://schemas.openxmlformats.org/spreadsheetml/2006/main" id="15" name="分R玩家装备等级汇总" displayName="分R玩家装备等级汇总" ref="P76:T136" totalsRowShown="0">
  <tableColumns count="5">
    <tableColumn id="1" name="天数" dataDxfId="135"/>
    <tableColumn id="2" name="非R" dataDxfId="136"/>
    <tableColumn id="3" name="小R" dataDxfId="137"/>
    <tableColumn id="4" name="中R" dataDxfId="138"/>
    <tableColumn id="5" name="大R" dataDxfId="139"/>
  </tableColumns>
  <tableStyleInfo name="TableStylePreset3_Accent1" showFirstColumn="0" showLastColumn="0" showRowStripes="0" showColumnStripes="0"/>
</table>
</file>

<file path=xl/tables/table16.xml><?xml version="1.0" encoding="utf-8"?>
<table xmlns="http://schemas.openxmlformats.org/spreadsheetml/2006/main" id="16" name="分R玩家装备品质汇总" displayName="分R玩家装备品质汇总" ref="W76:AA136" totalsRowShown="0">
  <tableColumns count="5">
    <tableColumn id="1" name="天数" dataDxfId="140"/>
    <tableColumn id="2" name="非R" dataDxfId="141"/>
    <tableColumn id="3" name="小R" dataDxfId="142"/>
    <tableColumn id="4" name="中R" dataDxfId="143"/>
    <tableColumn id="5" name="大R" dataDxfId="144"/>
  </tableColumns>
  <tableStyleInfo name="TableStylePreset3_Accent1" showFirstColumn="0" showLastColumn="0" showRowStripes="0" showColumnStripes="0"/>
</table>
</file>

<file path=xl/tables/table17.xml><?xml version="1.0" encoding="utf-8"?>
<table xmlns="http://schemas.openxmlformats.org/spreadsheetml/2006/main" id="17" name="分R梦灵解锁汇总" displayName="分R梦灵解锁汇总" ref="D144:H204" totalsRowShown="0">
  <tableColumns count="5">
    <tableColumn id="1" name="招募释放" dataDxfId="145"/>
    <tableColumn id="2" name="非R" dataDxfId="146"/>
    <tableColumn id="3" name="小R" dataDxfId="147"/>
    <tableColumn id="4" name="中R" dataDxfId="148"/>
    <tableColumn id="5" name="大R" dataDxfId="149"/>
  </tableColumns>
  <tableStyleInfo name="TableStylePreset3_Accent1" showFirstColumn="0" showLastColumn="0" showRowStripes="0" showColumnStripes="0"/>
</table>
</file>

<file path=xl/tables/table18.xml><?xml version="1.0" encoding="utf-8"?>
<table xmlns="http://schemas.openxmlformats.org/spreadsheetml/2006/main" id="18" name="分R玩家卡池等级汇总" displayName="分R玩家卡池等级汇总" ref="J144:N204" totalsRowShown="0">
  <tableColumns count="5">
    <tableColumn id="1" name="天数" dataDxfId="150"/>
    <tableColumn id="2" name="非R" dataDxfId="151"/>
    <tableColumn id="3" name="小R" dataDxfId="152"/>
    <tableColumn id="4" name="中R" dataDxfId="153"/>
    <tableColumn id="5" name="大R" dataDxfId="154"/>
  </tableColumns>
  <tableStyleInfo name="TableStylePreset3_Accent1" showFirstColumn="0" showLastColumn="0" showRowStripes="0" showColumnStripes="0"/>
</table>
</file>

<file path=xl/tables/table19.xml><?xml version="1.0" encoding="utf-8"?>
<table xmlns="http://schemas.openxmlformats.org/spreadsheetml/2006/main" id="19" name="分R玩家抽数汇总" displayName="分R玩家抽数汇总" ref="P144:T204" totalsRowShown="0">
  <tableColumns count="5">
    <tableColumn id="1" name="活动总抽" dataDxfId="155"/>
    <tableColumn id="2" name="非R" dataDxfId="156"/>
    <tableColumn id="3" name="小R" dataDxfId="157"/>
    <tableColumn id="4" name="中R" dataDxfId="158"/>
    <tableColumn id="5" name="大R" dataDxfId="159"/>
  </tableColumns>
  <tableStyleInfo name="TableStylePreset3_Accent1" showFirstColumn="0" showLastColumn="0" showRowStripes="0" showColumnStripes="0"/>
</table>
</file>

<file path=xl/tables/table20.xml><?xml version="1.0" encoding="utf-8"?>
<table xmlns="http://schemas.openxmlformats.org/spreadsheetml/2006/main" id="20" name="分R玩家蓝卡等级汇总" displayName="分R玩家蓝卡等级汇总" ref="AB144:AF204" totalsRowShown="0">
  <tableColumns count="5">
    <tableColumn id="1" name="蓝卡等级" dataDxfId="160"/>
    <tableColumn id="2" name="非R" dataDxfId="161"/>
    <tableColumn id="3" name="小R" dataDxfId="162"/>
    <tableColumn id="4" name="中R" dataDxfId="163"/>
    <tableColumn id="5" name="大R" dataDxfId="164"/>
  </tableColumns>
  <tableStyleInfo name="TableStylePreset3_Accent1" showFirstColumn="0" showLastColumn="0" showRowStripes="0" showColumnStripes="0"/>
</table>
</file>

<file path=xl/tables/table21.xml><?xml version="1.0" encoding="utf-8"?>
<table xmlns="http://schemas.openxmlformats.org/spreadsheetml/2006/main" id="21" name="分R玩家紫卡等级汇总" displayName="分R玩家紫卡等级汇总" ref="AH144:AL204" totalsRowShown="0">
  <tableColumns count="5">
    <tableColumn id="1" name="紫卡等级" dataDxfId="165"/>
    <tableColumn id="2" name="非R" dataDxfId="166"/>
    <tableColumn id="3" name="小R" dataDxfId="167"/>
    <tableColumn id="4" name="中R" dataDxfId="168"/>
    <tableColumn id="5" name="大R" dataDxfId="169"/>
  </tableColumns>
  <tableStyleInfo name="TableStylePreset3_Accent1" showFirstColumn="0" showLastColumn="0" showRowStripes="0" showColumnStripes="0"/>
</table>
</file>

<file path=xl/tables/table22.xml><?xml version="1.0" encoding="utf-8"?>
<table xmlns="http://schemas.openxmlformats.org/spreadsheetml/2006/main" id="22" name="分R玩家橙卡等级汇总" displayName="分R玩家橙卡等级汇总" ref="AN144:AR204" totalsRowShown="0">
  <tableColumns count="5">
    <tableColumn id="1" name="橙卡等级" dataDxfId="170"/>
    <tableColumn id="2" name="非R" dataDxfId="171"/>
    <tableColumn id="3" name="小R" dataDxfId="172"/>
    <tableColumn id="4" name="中R" dataDxfId="173"/>
    <tableColumn id="5" name="大R" dataDxfId="174"/>
  </tableColumns>
  <tableStyleInfo name="TableStylePreset3_Accent1" showFirstColumn="0" showLastColumn="0" showRowStripes="0" showColumnStripes="0"/>
</table>
</file>

<file path=xl/tables/table23.xml><?xml version="1.0" encoding="utf-8"?>
<table xmlns="http://schemas.openxmlformats.org/spreadsheetml/2006/main" id="23" name="分R玩家红卡等级汇总" displayName="分R玩家红卡等级汇总" ref="AT144:AX204" totalsRowShown="0">
  <tableColumns count="5">
    <tableColumn id="1" name="红卡等级" dataDxfId="175"/>
    <tableColumn id="2" name="非R" dataDxfId="176"/>
    <tableColumn id="3" name="小R" dataDxfId="177"/>
    <tableColumn id="4" name="中R" dataDxfId="178"/>
    <tableColumn id="5" name="大R" dataDxfId="179"/>
  </tableColumns>
  <tableStyleInfo name="TableStylePreset3_Accent1" showFirstColumn="0" showLastColumn="0" showRowStripes="0" showColumnStripes="0"/>
</table>
</file>

<file path=xl/tables/table24.xml><?xml version="1.0" encoding="utf-8"?>
<table xmlns="http://schemas.openxmlformats.org/spreadsheetml/2006/main" id="24" name="分R玩家符文品质汇总" displayName="分R玩家符文品质汇总" ref="D209:H269" totalsRowShown="0">
  <tableColumns count="5">
    <tableColumn id="1" name="宝石品质" dataDxfId="180"/>
    <tableColumn id="2" name="非R" dataDxfId="181"/>
    <tableColumn id="3" name="小R" dataDxfId="182"/>
    <tableColumn id="4" name="中R" dataDxfId="183"/>
    <tableColumn id="5" name="大R" dataDxfId="184"/>
  </tableColumns>
  <tableStyleInfo name="TableStylePreset3_Accent1" showFirstColumn="0" showLastColumn="0" showRowStripes="0" showColumnStripes="0"/>
</table>
</file>

<file path=xl/tables/table25.xml><?xml version="1.0" encoding="utf-8"?>
<table xmlns="http://schemas.openxmlformats.org/spreadsheetml/2006/main" id="25" name="分R玩家符文总产汇总" displayName="分R玩家符文总产汇总" ref="J209:N269" totalsRowShown="0">
  <tableColumns count="5">
    <tableColumn id="1" name="宝石总产" dataDxfId="185"/>
    <tableColumn id="2" name="非R" dataDxfId="186"/>
    <tableColumn id="3" name="小R" dataDxfId="187"/>
    <tableColumn id="4" name="中R" dataDxfId="188"/>
    <tableColumn id="5" name="大R" dataDxfId="189"/>
  </tableColumns>
  <tableStyleInfo name="TableStylePreset3_Accent1" showFirstColumn="0" showLastColumn="0" showRowStripes="0" showColumnStripes="0"/>
</table>
</file>

<file path=xl/tables/table26.xml><?xml version="1.0" encoding="utf-8"?>
<table xmlns="http://schemas.openxmlformats.org/spreadsheetml/2006/main" id="26" name="养成强度贡献预期_旧表" displayName="养成强度贡献预期_旧表" ref="D7:K21" totalsRowShown="0">
  <tableColumns count="8">
    <tableColumn id="1" name="天数" dataDxfId="190"/>
    <tableColumn id="2" name="主要内容" dataDxfId="191"/>
    <tableColumn id="3" name="装备成长" dataDxfId="192"/>
    <tableColumn id="4" name="梦灵成长" dataDxfId="193"/>
    <tableColumn id="5" name="符文成长" dataDxfId="194"/>
    <tableColumn id="6" name="宠物成长" dataDxfId="195"/>
    <tableColumn id="7" name="主角成长" dataDxfId="196"/>
    <tableColumn id="8" name="赛季养成" dataDxfId="197"/>
  </tableColumns>
  <tableStyleInfo name="TableStylePreset3_Accent1" showFirstColumn="0" showLastColumn="0" showRowStripes="0" showColumnStripes="0"/>
</table>
</file>

<file path=xl/tables/table27.xml><?xml version="1.0" encoding="utf-8"?>
<table xmlns="http://schemas.openxmlformats.org/spreadsheetml/2006/main" id="27" name="养成模块思路设计" displayName="养成模块思路设计" ref="C6:P12" totalsRowShown="0">
  <tableColumns count="14">
    <tableColumn id="1" name="大类" dataDxfId="198"/>
    <tableColumn id="2" name="模块" dataDxfId="199"/>
    <tableColumn id="3" name="列1" dataDxfId="200"/>
    <tableColumn id="4" name="性质" dataDxfId="201"/>
    <tableColumn id="7" name="商业化性质" dataDxfId="202"/>
    <tableColumn id="9" name="养成预期" dataDxfId="203"/>
    <tableColumn id="10" name="膨胀周期" dataDxfId="204"/>
    <tableColumn id="11" name="验证类型" dataDxfId="205"/>
    <tableColumn id="12" name="极限关卡" dataDxfId="206"/>
    <tableColumn id="13" name="列5" dataDxfId="207"/>
    <tableColumn id="14" name="分层体验" dataDxfId="208"/>
    <tableColumn id="15" name="列6" dataDxfId="209"/>
    <tableColumn id="16" name="列7" dataDxfId="210"/>
    <tableColumn id="17" name="列8" dataDxfId="211"/>
  </tableColumns>
  <tableStyleInfo name="TableStylePreset3_Accent1" showFirstColumn="0" showLastColumn="0" showRowStripes="0" showColumnStripes="0"/>
</table>
</file>

<file path=xl/tables/table28.xml><?xml version="1.0" encoding="utf-8"?>
<table xmlns="http://schemas.openxmlformats.org/spreadsheetml/2006/main" id="28" name="梦境分R规划表" displayName="梦境分R规划表" ref="C41:G45" totalsRowShown="0">
  <tableColumns count="5">
    <tableColumn id="1" name="玩家层级" dataDxfId="212"/>
    <tableColumn id="2" name="锚定体验" dataDxfId="213"/>
    <tableColumn id="3" name="单关标准（钻石）" dataDxfId="214"/>
    <tableColumn id="4" name="预期价格（钻石）" dataDxfId="215"/>
    <tableColumn id="5" name="单关RMB" dataDxfId="216"/>
  </tableColumns>
  <tableStyleInfo name="TableStylePreset3_Accent1" showFirstColumn="0" showLastColumn="0" showRowStripes="0" showColumnStripes="0"/>
</table>
</file>

<file path=xl/tables/table29.xml><?xml version="1.0" encoding="utf-8"?>
<table xmlns="http://schemas.openxmlformats.org/spreadsheetml/2006/main" id="30" name="外观与皮肤定价" displayName="外观与皮肤定价" ref="C48:O66" totalsRowShown="0">
  <tableColumns count="13">
    <tableColumn id="1" name="类型" dataDxfId="217"/>
    <tableColumn id="2" name="皮肤品质" dataDxfId="218"/>
    <tableColumn id="3" name="门槛强度" dataDxfId="219"/>
    <tableColumn id="4" name="白板数值" dataDxfId="220"/>
    <tableColumn id="5" name="定价" dataDxfId="221"/>
    <tableColumn id="6" name="回收价" dataDxfId="222"/>
    <tableColumn id="7" name="新回收价" dataDxfId="223"/>
    <tableColumn id="8" name="单关定价" dataDxfId="224"/>
    <tableColumn id="9" name="用户" dataDxfId="225"/>
    <tableColumn id="10" name="每点攻击价格" dataDxfId="226"/>
    <tableColumn id="11" name="每点倍率价格" dataDxfId="227"/>
    <tableColumn id="12" name="列2"/>
    <tableColumn id="13" name="列12"/>
  </tableColumns>
  <tableStyleInfo name="TableStylePreset3_Accent1" showFirstColumn="0" showLastColumn="0" showRowStripes="0" showColumnStripes="0"/>
</table>
</file>

<file path=xl/tables/table30.xml><?xml version="1.0" encoding="utf-8"?>
<table xmlns="http://schemas.openxmlformats.org/spreadsheetml/2006/main" id="31" name="梦灵成长和锚定" displayName="梦灵成长和锚定" ref="C75:F95" totalsRowShown="0">
  <tableColumns count="4">
    <tableColumn id="1" name="梦灵品质" dataDxfId="228"/>
    <tableColumn id="2" name="梦灵倍率" dataDxfId="229"/>
    <tableColumn id="3" name="梦灵单日等级成长" dataDxfId="230"/>
    <tableColumn id="4" name="列1" dataDxfId="231"/>
  </tableColumns>
  <tableStyleInfo name="TableStylePreset3_Accent1" showFirstColumn="0" showLastColumn="0" showRowStripes="0" showColumnStripes="0"/>
</table>
</file>

<file path=xl/tables/table31.xml><?xml version="1.0" encoding="utf-8"?>
<table xmlns="http://schemas.openxmlformats.org/spreadsheetml/2006/main" id="32" name="符文成长规划" displayName="符文成长规划" ref="C101:F105" totalsRowShown="0">
  <tableColumns count="4">
    <tableColumn id="1" name="档次" dataDxfId="232"/>
    <tableColumn id="2" name="橙" dataDxfId="233"/>
    <tableColumn id="3" name="红" dataDxfId="234"/>
    <tableColumn id="4" name="粉" dataDxfId="235"/>
  </tableColumns>
  <tableStyleInfo name="TableStylePreset3_Accent1" showFirstColumn="0" showLastColumn="0" showRowStripes="0" showColumnStripes="0"/>
</table>
</file>

<file path=xl/tables/table32.xml><?xml version="1.0" encoding="utf-8"?>
<table xmlns="http://schemas.openxmlformats.org/spreadsheetml/2006/main" id="33" name="符文成长定价" displayName="符文成长定价" ref="C107:F111" totalsRowShown="0">
  <tableColumns count="4">
    <tableColumn id="1" name="档次" dataDxfId="236"/>
    <tableColumn id="2" name="橙" dataDxfId="237"/>
    <tableColumn id="3" name="红" dataDxfId="238"/>
    <tableColumn id="4" name="粉" dataDxfId="239"/>
  </tableColumns>
  <tableStyleInfo name="TableStylePreset3_Accent1" showFirstColumn="0" showLastColumn="0" showRowStripes="0" showColumnStripes="0"/>
</table>
</file>

<file path=xl/tables/table33.xml><?xml version="1.0" encoding="utf-8"?>
<table xmlns="http://schemas.openxmlformats.org/spreadsheetml/2006/main" id="34" name="符文贡献总规划" displayName="符文贡献总规划" ref="C114:G118" totalsRowShown="0">
  <tableColumns count="5">
    <tableColumn id="1" name="用户层级" dataDxfId="240"/>
    <tableColumn id="2" name="符文付费成长" dataDxfId="241"/>
    <tableColumn id="3" name="符文关卡贡献" dataDxfId="242"/>
    <tableColumn id="4" name="洗练产出" dataDxfId="243"/>
    <tableColumn id="5" name="本体产出" dataDxfId="244"/>
  </tableColumns>
  <tableStyleInfo name="TableStylePreset3_Accent1" showFirstColumn="0" showLastColumn="0" showRowStripes="0" showColumnStripes="0"/>
</table>
</file>

<file path=xl/tables/table34.xml><?xml version="1.0" encoding="utf-8"?>
<table xmlns="http://schemas.openxmlformats.org/spreadsheetml/2006/main" id="35" name="玩家战力构造汇总" displayName="玩家战力构造汇总" ref="C123:AU723" totalsRowShown="0">
  <tableColumns count="45">
    <tableColumn id="1" name="天数" dataDxfId="245"/>
    <tableColumn id="2" name="关卡预期" dataDxfId="246"/>
    <tableColumn id="3" name="基础关卡" dataDxfId="247"/>
    <tableColumn id="4" name="免费产出" dataDxfId="248"/>
    <tableColumn id="5" name="基础关卡成长" dataDxfId="249"/>
    <tableColumn id="6" name="关卡成长" dataDxfId="250"/>
    <tableColumn id="7" name="总装备" dataDxfId="251"/>
    <tableColumn id="8" name="装备贡献" dataDxfId="252"/>
    <tableColumn id="9" name="攻击成长" dataDxfId="253"/>
    <tableColumn id="10" name="伤害加成" dataDxfId="254"/>
    <tableColumn id="11" name="总梦灵" dataDxfId="255"/>
    <tableColumn id="12" name="梦灵贡献" dataDxfId="256"/>
    <tableColumn id="13" name="主技能" dataDxfId="257"/>
    <tableColumn id="14" name="预期等级" dataDxfId="258"/>
    <tableColumn id="15" name="等级系数" dataDxfId="259"/>
    <tableColumn id="16" name="达成率" dataDxfId="260"/>
    <tableColumn id="17" name="符文关卡数" dataDxfId="261"/>
    <tableColumn id="18" name="符文总倍率" dataDxfId="262"/>
    <tableColumn id="19" name="列1" dataDxfId="263"/>
    <tableColumn id="20" name="品质系数" dataDxfId="264"/>
    <tableColumn id="21" name="符文数量限制" dataDxfId="265"/>
    <tableColumn id="22" name="品质" dataDxfId="266"/>
    <tableColumn id="23" name="符文总产" dataDxfId="267"/>
    <tableColumn id="24" name="列2" dataDxfId="268"/>
    <tableColumn id="25" name="1~2档符文" dataDxfId="269"/>
    <tableColumn id="26" name="3档符文" dataDxfId="270"/>
    <tableColumn id="27" name="4档符文" dataDxfId="271"/>
    <tableColumn id="28" name="5档符文" dataDxfId="272"/>
    <tableColumn id="29" name="6档符文" dataDxfId="273"/>
    <tableColumn id="30" name="梦灵品质" dataDxfId="274"/>
    <tableColumn id="31" name="基因" dataDxfId="275"/>
    <tableColumn id="32" name="等级" dataDxfId="276"/>
    <tableColumn id="33" name="秘宝关卡" dataDxfId="277"/>
    <tableColumn id="34" name="列3" dataDxfId="278"/>
    <tableColumn id="35" name="总倍率" dataDxfId="279"/>
    <tableColumn id="36" name="新系统1" dataDxfId="280"/>
    <tableColumn id="37" name="新系统2" dataDxfId="281"/>
    <tableColumn id="38" name="新系统3" dataDxfId="282"/>
    <tableColumn id="39" name="新系统4" dataDxfId="283"/>
    <tableColumn id="40" name="新系统5" dataDxfId="284"/>
    <tableColumn id="41" name="新系统12" dataDxfId="285"/>
    <tableColumn id="42" name="新系统22" dataDxfId="286"/>
    <tableColumn id="43" name="新系统32" dataDxfId="287"/>
    <tableColumn id="44" name="新系统42" dataDxfId="288"/>
    <tableColumn id="45" name="新系统52" dataDxfId="289"/>
  </tableColumns>
  <tableStyleInfo name="TableStylePreset3_Accent1" showFirstColumn="0" showLastColumn="0" showRowStripes="0" showColumnStripes="0"/>
</table>
</file>

<file path=xl/tables/table35.xml><?xml version="1.0" encoding="utf-8"?>
<table xmlns="http://schemas.openxmlformats.org/spreadsheetml/2006/main" id="36" name="玩法规划" displayName="玩法规划" ref="B5:I14" totalsRowShown="0">
  <tableColumns count="8">
    <tableColumn id="1" name="所属模块" dataDxfId="290"/>
    <tableColumn id="2" name="玩法名" dataDxfId="291"/>
    <tableColumn id="3" name="开启时间" dataDxfId="292"/>
    <tableColumn id="4" name="功能定位" dataDxfId="293"/>
    <tableColumn id="5" name="核心产出" dataDxfId="294"/>
    <tableColumn id="6" name="产出定位" dataDxfId="295"/>
    <tableColumn id="7" name="长周期占比" dataDxfId="296"/>
    <tableColumn id="8" name="分层方式" dataDxfId="297"/>
  </tableColumns>
  <tableStyleInfo name="TableStylePreset3_Accent1" showFirstColumn="0" showLastColumn="0" showRowStripes="0" showColumnStripes="0"/>
</table>
</file>

<file path=xl/tables/table36.xml><?xml version="1.0" encoding="utf-8"?>
<table xmlns="http://schemas.openxmlformats.org/spreadsheetml/2006/main" id="37" name="玩法产出框架" displayName="玩法产出框架" ref="B49:W100" totalsRowShown="0">
  <tableColumns count="22">
    <tableColumn id="1" name="所属模块" dataDxfId="298"/>
    <tableColumn id="2" name="玩法名" dataDxfId="299"/>
    <tableColumn id="3" name="产出途径" dataDxfId="300"/>
    <tableColumn id="4" name="玩法次数" dataDxfId="301"/>
    <tableColumn id="5" name="招募券" dataDxfId="302"/>
    <tableColumn id="6" name="高级招募" dataDxfId="303"/>
    <tableColumn id="7" name="英雄碎片" dataDxfId="304"/>
    <tableColumn id="8" name="英雄经验" dataDxfId="305"/>
    <tableColumn id="9" name="装备本体" dataDxfId="306"/>
    <tableColumn id="10" name="装备图纸" dataDxfId="307"/>
    <tableColumn id="11" name="装备洗练石" dataDxfId="308"/>
    <tableColumn id="12" name="宝石本体" dataDxfId="309"/>
    <tableColumn id="13" name="宝石锤" dataDxfId="310"/>
    <tableColumn id="14" name="高级宝石锤" dataDxfId="311"/>
    <tableColumn id="15" name="精灵木" dataDxfId="312"/>
    <tableColumn id="16" name="宝石洗练石" dataDxfId="313"/>
    <tableColumn id="17" name="天赋石" dataDxfId="314"/>
    <tableColumn id="18" name="高级天赋石" dataDxfId="315"/>
    <tableColumn id="19" name="加速券" dataDxfId="316"/>
    <tableColumn id="20" name="专属卡带" dataDxfId="317"/>
    <tableColumn id="21" name="金币" dataDxfId="318"/>
    <tableColumn id="22" name="宝石" dataDxfId="319"/>
  </tableColumns>
  <tableStyleInfo name="TableStylePreset3_Accent1" showFirstColumn="0" showLastColumn="0" showRowStripes="0" showColumnStripes="0"/>
</table>
</file>

<file path=xl/tables/table37.xml><?xml version="1.0" encoding="utf-8"?>
<table xmlns="http://schemas.openxmlformats.org/spreadsheetml/2006/main" id="38" name="功能释放规划" displayName="功能释放规划" ref="D4:E10" totalsRowShown="0">
  <tableColumns count="2">
    <tableColumn id="1" name="时间" dataDxfId="320"/>
    <tableColumn id="2" name="玩家等级" dataDxfId="321"/>
  </tableColumns>
  <tableStyleInfo name="TableStylePreset3_Accent1" showFirstColumn="0" showLastColumn="0" showRowStripes="0" showColumnStripes="0"/>
</table>
</file>

<file path=xl/tables/table38.xml><?xml version="1.0" encoding="utf-8"?>
<table xmlns="http://schemas.openxmlformats.org/spreadsheetml/2006/main" id="39" name="分R每日体力规划" displayName="分R每日体力规划" ref="D16:E19" totalsRowShown="0">
  <tableColumns count="2">
    <tableColumn id="1" name="途径" dataDxfId="322"/>
    <tableColumn id="2" name="每日次数" dataDxfId="323"/>
  </tableColumns>
  <tableStyleInfo name="TableStylePreset3_Accent1" showFirstColumn="0" showLastColumn="0" showRowStripes="0" showColumnStripes="0"/>
</table>
</file>

<file path=xl/tables/table39.xml><?xml version="1.0" encoding="utf-8"?>
<table xmlns="http://schemas.openxmlformats.org/spreadsheetml/2006/main" id="40" name="体力产出途径规划" displayName="体力产出途径规划" ref="D22:M34" totalsRowShown="0">
  <tableColumns count="10">
    <tableColumn id="1" name="途径" dataDxfId="324"/>
    <tableColumn id="2" name="每日次数" dataDxfId="325"/>
    <tableColumn id="3" name="单次体力" dataDxfId="326"/>
    <tableColumn id="4" name="单项体力" dataDxfId="327"/>
    <tableColumn id="5" name="累计体力" dataDxfId="328"/>
    <tableColumn id="6" name="钻石价格" dataDxfId="329"/>
    <tableColumn id="7" name="rmb价格" dataDxfId="330"/>
    <tableColumn id="8" name="定位" dataDxfId="331"/>
    <tableColumn id="9" name="&#10;汇总说明" dataDxfId="332"/>
    <tableColumn id="10" name="列1" dataDxfId="333"/>
  </tableColumns>
  <tableStyleInfo name="TableStylePreset3_Accent1" showFirstColumn="0" showLastColumn="0" showRowStripes="0" showColumnStripes="0"/>
</table>
</file>

<file path=xl/tables/table40.xml><?xml version="1.0" encoding="utf-8"?>
<table xmlns="http://schemas.openxmlformats.org/spreadsheetml/2006/main" id="41" name="天数等级汇总" displayName="天数等级汇总" ref="D51:G551" totalsRowShown="0">
  <tableColumns count="4">
    <tableColumn id="1" name="天数" dataDxfId="334"/>
    <tableColumn id="2" name="等级差值" dataDxfId="335"/>
    <tableColumn id="3" name="玩家等级" dataDxfId="336"/>
    <tableColumn id="4" name="玩家等级数值取整" dataDxfId="337"/>
  </tableColumns>
  <tableStyleInfo name="TableStylePreset3_Accent1" showFirstColumn="0" showLastColumn="0" showRowStripes="0" showColumnStripes="0"/>
</table>
</file>

<file path=xl/tables/table41.xml><?xml version="1.0" encoding="utf-8"?>
<table xmlns="http://schemas.openxmlformats.org/spreadsheetml/2006/main" id="42" name="商业化规划" displayName="商业化规划" ref="D14:Q26" totalsRowShown="0">
  <tableColumns count="14">
    <tableColumn id="1" name="养成模块" dataDxfId="338"/>
    <tableColumn id="2" name="养成点" dataDxfId="339"/>
    <tableColumn id="3" name="目标坑深（钻石）" dataDxfId="340"/>
    <tableColumn id="4" name="单个坑深（钻石）" dataDxfId="341"/>
    <tableColumn id="5" name="养成周期（天数）" dataDxfId="342"/>
    <tableColumn id="6" name="每日产出（钻石）" dataDxfId="343"/>
    <tableColumn id="7" name="活跃" dataDxfId="344"/>
    <tableColumn id="8" name="目标用户" dataDxfId="345"/>
    <tableColumn id="9" name="付费比重" dataDxfId="346"/>
    <tableColumn id="10" name="养成深度" dataDxfId="347"/>
    <tableColumn id="11" name="养成策略" dataDxfId="348"/>
    <tableColumn id="12" name="迭代方式" dataDxfId="349"/>
    <tableColumn id="13" name="针对付费群体" dataDxfId="350"/>
    <tableColumn id="14" name="分层体验" dataDxfId="351"/>
  </tableColumns>
  <tableStyleInfo name="TableStylePreset3_Accent1" showFirstColumn="0" showLastColumn="0" showRowStripes="0" showColumnStripes="0"/>
</table>
</file>

<file path=xl/tables/table42.xml><?xml version="1.0" encoding="utf-8"?>
<table xmlns="http://schemas.openxmlformats.org/spreadsheetml/2006/main" id="43" name="价值表" displayName="价值表" ref="D46:N137" totalsRowShown="0">
  <tableColumns count="11">
    <tableColumn id="1" name="序号" dataDxfId="352"/>
    <tableColumn id="2" name="道具ID" dataDxfId="353"/>
    <tableColumn id="3" name="道具名称" dataDxfId="354"/>
    <tableColumn id="4" name="类别" dataDxfId="355"/>
    <tableColumn id="5" name="钻石价值" dataDxfId="356"/>
    <tableColumn id="6" name="RMB售价" dataDxfId="357"/>
    <tableColumn id="7" name="途径1" dataDxfId="358"/>
    <tableColumn id="8" name="途径2" dataDxfId="359"/>
    <tableColumn id="9" name="标准折扣" dataDxfId="360"/>
    <tableColumn id="10" name="备注" dataDxfId="361"/>
    <tableColumn id="11" name="整体思路" dataDxfId="362"/>
  </tableColumns>
  <tableStyleInfo name="TableStylePreset3_Accent1" showFirstColumn="0" showLastColumn="0" showRowStripes="0"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4" Type="http://schemas.openxmlformats.org/officeDocument/2006/relationships/table" Target="../tables/table3.xml"/><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9" Type="http://schemas.openxmlformats.org/officeDocument/2006/relationships/table" Target="../tables/table9.xml"/><Relationship Id="rId8" Type="http://schemas.openxmlformats.org/officeDocument/2006/relationships/table" Target="../tables/table8.xml"/><Relationship Id="rId7" Type="http://schemas.openxmlformats.org/officeDocument/2006/relationships/table" Target="../tables/table7.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3" Type="http://schemas.openxmlformats.org/officeDocument/2006/relationships/vmlDrawing" Target="../drawings/vmlDrawing1.vml"/><Relationship Id="rId2" Type="http://schemas.openxmlformats.org/officeDocument/2006/relationships/drawing" Target="../drawings/drawing3.xml"/><Relationship Id="rId10" Type="http://schemas.openxmlformats.org/officeDocument/2006/relationships/table" Target="../tables/table10.x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9" Type="http://schemas.openxmlformats.org/officeDocument/2006/relationships/table" Target="../tables/table19.xml"/><Relationship Id="rId8" Type="http://schemas.openxmlformats.org/officeDocument/2006/relationships/table" Target="../tables/table18.xml"/><Relationship Id="rId7" Type="http://schemas.openxmlformats.org/officeDocument/2006/relationships/table" Target="../tables/table17.xml"/><Relationship Id="rId6" Type="http://schemas.openxmlformats.org/officeDocument/2006/relationships/table" Target="../tables/table16.xml"/><Relationship Id="rId5" Type="http://schemas.openxmlformats.org/officeDocument/2006/relationships/table" Target="../tables/table15.xml"/><Relationship Id="rId4" Type="http://schemas.openxmlformats.org/officeDocument/2006/relationships/table" Target="../tables/table14.xml"/><Relationship Id="rId3" Type="http://schemas.openxmlformats.org/officeDocument/2006/relationships/table" Target="../tables/table13.xml"/><Relationship Id="rId2" Type="http://schemas.openxmlformats.org/officeDocument/2006/relationships/table" Target="../tables/table12.xml"/><Relationship Id="rId15" Type="http://schemas.openxmlformats.org/officeDocument/2006/relationships/table" Target="../tables/table25.xml"/><Relationship Id="rId14" Type="http://schemas.openxmlformats.org/officeDocument/2006/relationships/table" Target="../tables/table24.xml"/><Relationship Id="rId13" Type="http://schemas.openxmlformats.org/officeDocument/2006/relationships/table" Target="../tables/table23.xml"/><Relationship Id="rId12" Type="http://schemas.openxmlformats.org/officeDocument/2006/relationships/table" Target="../tables/table22.xml"/><Relationship Id="rId11" Type="http://schemas.openxmlformats.org/officeDocument/2006/relationships/table" Target="../tables/table21.xml"/><Relationship Id="rId10" Type="http://schemas.openxmlformats.org/officeDocument/2006/relationships/table" Target="../tables/table20.xml"/><Relationship Id="rId1" Type="http://schemas.openxmlformats.org/officeDocument/2006/relationships/table" Target="../tables/table1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7.xml.rels><?xml version="1.0" encoding="UTF-8" standalone="yes"?>
<Relationships xmlns="http://schemas.openxmlformats.org/package/2006/relationships"><Relationship Id="rId9" Type="http://schemas.openxmlformats.org/officeDocument/2006/relationships/table" Target="../tables/table34.xml"/><Relationship Id="rId8" Type="http://schemas.openxmlformats.org/officeDocument/2006/relationships/table" Target="../tables/table33.xml"/><Relationship Id="rId7" Type="http://schemas.openxmlformats.org/officeDocument/2006/relationships/table" Target="../tables/table32.xml"/><Relationship Id="rId6" Type="http://schemas.openxmlformats.org/officeDocument/2006/relationships/table" Target="../tables/table31.xml"/><Relationship Id="rId5" Type="http://schemas.openxmlformats.org/officeDocument/2006/relationships/table" Target="../tables/table30.xml"/><Relationship Id="rId4" Type="http://schemas.openxmlformats.org/officeDocument/2006/relationships/table" Target="../tables/table29.xml"/><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table" Target="../tables/table35.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4" Type="http://schemas.openxmlformats.org/officeDocument/2006/relationships/table" Target="../tables/table40.xml"/><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table" Target="../tables/table3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table" Target="../tables/table4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ChangeLog"/>
  <dimension ref="B2:E8"/>
  <sheetViews>
    <sheetView workbookViewId="0">
      <selection activeCell="H38" sqref="H38"/>
    </sheetView>
  </sheetViews>
  <sheetFormatPr defaultColWidth="10.2857142857143" defaultRowHeight="12.75" outlineLevelRow="7" outlineLevelCol="4"/>
  <cols>
    <col min="2" max="2" width="9.71428571428571" customWidth="1"/>
    <col min="3" max="3" width="13.7142857142857" customWidth="1"/>
    <col min="4" max="4" width="59.7142857142857" customWidth="1"/>
    <col min="5" max="5" width="9.71428571428571" customWidth="1"/>
  </cols>
  <sheetData>
    <row r="2" ht="14.25" spans="2:5">
      <c r="B2" s="491" t="s">
        <v>0</v>
      </c>
      <c r="C2" s="492" t="s">
        <v>1</v>
      </c>
      <c r="D2" s="492" t="s">
        <v>2</v>
      </c>
      <c r="E2" s="492" t="s">
        <v>3</v>
      </c>
    </row>
    <row r="3" ht="14.25" spans="2:5">
      <c r="B3" s="493" t="s">
        <v>4</v>
      </c>
      <c r="C3" s="494">
        <v>45762</v>
      </c>
      <c r="D3" s="495" t="s">
        <v>5</v>
      </c>
      <c r="E3" s="495" t="s">
        <v>6</v>
      </c>
    </row>
    <row r="4" ht="14.25" spans="2:5">
      <c r="B4" s="493"/>
      <c r="C4" s="494"/>
      <c r="D4" s="495"/>
      <c r="E4" s="495"/>
    </row>
    <row r="5" ht="14.25" spans="2:5">
      <c r="B5" s="493"/>
      <c r="C5" s="494"/>
      <c r="D5" s="495"/>
      <c r="E5" s="495"/>
    </row>
    <row r="6" ht="14.25" spans="2:5">
      <c r="B6" s="493"/>
      <c r="C6" s="494"/>
      <c r="D6" s="495"/>
      <c r="E6" s="495"/>
    </row>
    <row r="7" ht="14.25" spans="2:5">
      <c r="B7" s="493"/>
      <c r="C7" s="494"/>
      <c r="D7" s="495"/>
      <c r="E7" s="495"/>
    </row>
    <row r="8" ht="14.25" spans="2:5">
      <c r="B8" s="493"/>
      <c r="C8" s="494"/>
      <c r="D8" s="495"/>
      <c r="E8" s="495"/>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核心循环">
    <tabColor rgb="FFFFFFFF"/>
  </sheetPr>
  <dimension ref="B2:D33"/>
  <sheetViews>
    <sheetView showGridLines="0" topLeftCell="A2" workbookViewId="0">
      <selection activeCell="H38" sqref="H38"/>
    </sheetView>
  </sheetViews>
  <sheetFormatPr defaultColWidth="10.2857142857143" defaultRowHeight="12.75" outlineLevelCol="3"/>
  <cols>
    <col min="2" max="2" width="3" customWidth="1"/>
  </cols>
  <sheetData>
    <row r="2" spans="2:3">
      <c r="B2" s="297"/>
      <c r="C2" s="8" t="s">
        <v>7</v>
      </c>
    </row>
    <row r="33" spans="4:4">
      <c r="D33" t="s">
        <v>8</v>
      </c>
    </row>
  </sheetData>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战斗公式">
    <tabColor rgb="FFFFFFFF"/>
  </sheetPr>
  <dimension ref="B2:U155"/>
  <sheetViews>
    <sheetView showGridLines="0" workbookViewId="0">
      <selection activeCell="H38" sqref="H38"/>
    </sheetView>
  </sheetViews>
  <sheetFormatPr defaultColWidth="10.2857142857143" defaultRowHeight="16.5"/>
  <cols>
    <col min="1" max="1" width="10.2857142857143" style="17"/>
    <col min="2" max="2" width="2.85714285714286" style="17" customWidth="1"/>
    <col min="3" max="3" width="10.2857142857143" style="17"/>
    <col min="4" max="4" width="4.85714285714286" style="17" customWidth="1"/>
    <col min="5" max="5" width="15.7142857142857" style="17" customWidth="1"/>
    <col min="6" max="6" width="19.7142857142857" style="17" customWidth="1"/>
    <col min="7" max="187" width="14.5714285714286" style="17" customWidth="1"/>
    <col min="188" max="16384" width="10.2857142857143" style="17"/>
  </cols>
  <sheetData>
    <row r="2" spans="2:14">
      <c r="D2" s="19"/>
      <c r="E2" s="19"/>
      <c r="F2" s="19"/>
      <c r="G2" s="19"/>
      <c r="H2" s="19"/>
      <c r="I2" s="19"/>
      <c r="J2" s="19"/>
      <c r="K2" s="19"/>
      <c r="L2" s="19"/>
    </row>
    <row r="3" spans="2:14">
      <c r="B3" s="440"/>
      <c r="C3" s="44" t="s">
        <v>9</v>
      </c>
      <c r="E3" s="19"/>
      <c r="F3" s="19"/>
      <c r="G3" s="19"/>
      <c r="H3" s="19"/>
      <c r="I3" s="19"/>
      <c r="J3" s="19"/>
      <c r="K3" s="19"/>
      <c r="L3" s="19"/>
    </row>
    <row r="4" spans="2:14">
      <c r="D4" s="17" t="s">
        <v>10</v>
      </c>
      <c r="E4" s="17" t="s">
        <v>9</v>
      </c>
      <c r="F4" s="19"/>
      <c r="G4" s="19"/>
      <c r="H4" s="19"/>
      <c r="I4" s="19"/>
    </row>
    <row r="5" spans="2:14">
      <c r="D5" s="17">
        <v>1</v>
      </c>
      <c r="E5" s="17" t="s">
        <v>11</v>
      </c>
    </row>
    <row r="6" spans="2:14">
      <c r="D6" s="17">
        <v>2</v>
      </c>
      <c r="E6" s="17" t="s">
        <v>12</v>
      </c>
    </row>
    <row r="7" spans="2:14">
      <c r="D7" s="17">
        <v>3</v>
      </c>
      <c r="E7" s="17" t="s">
        <v>13</v>
      </c>
    </row>
    <row r="8" spans="2:14">
      <c r="D8" s="17">
        <v>4</v>
      </c>
      <c r="E8" s="17" t="s">
        <v>14</v>
      </c>
    </row>
    <row r="9" spans="2:14">
      <c r="D9" s="17">
        <v>5</v>
      </c>
      <c r="E9" s="17" t="s">
        <v>15</v>
      </c>
    </row>
    <row r="12" spans="2:14">
      <c r="B12" s="440"/>
      <c r="C12" s="44" t="s">
        <v>16</v>
      </c>
    </row>
    <row r="14" spans="2:14">
      <c r="D14" s="441" t="s">
        <v>17</v>
      </c>
      <c r="E14" s="442"/>
      <c r="F14" s="442"/>
      <c r="G14" s="442"/>
      <c r="H14" s="442"/>
      <c r="I14" s="442"/>
      <c r="J14" s="443"/>
      <c r="K14" s="442"/>
      <c r="L14" s="442"/>
      <c r="M14" s="443"/>
      <c r="N14" s="444"/>
    </row>
    <row r="15" spans="2:14">
      <c r="D15" s="445"/>
      <c r="E15" s="446"/>
      <c r="F15" s="446"/>
      <c r="G15" s="447"/>
      <c r="H15" s="447"/>
      <c r="I15" s="447"/>
      <c r="J15" s="447"/>
      <c r="K15" s="447"/>
      <c r="L15" s="447"/>
      <c r="M15" s="447"/>
      <c r="N15" s="448"/>
    </row>
    <row r="16" spans="2:14">
      <c r="D16" s="449" t="s">
        <v>18</v>
      </c>
      <c r="E16" s="450"/>
      <c r="F16" s="446"/>
      <c r="G16" s="446"/>
      <c r="H16" s="447"/>
      <c r="I16" s="447"/>
      <c r="J16" s="447"/>
      <c r="K16" s="447"/>
      <c r="L16" s="447"/>
      <c r="M16" s="447"/>
      <c r="N16" s="448"/>
    </row>
    <row r="17" spans="4:14">
      <c r="D17" s="451" t="s">
        <v>19</v>
      </c>
      <c r="E17" s="452" t="s">
        <v>20</v>
      </c>
      <c r="F17" s="446"/>
      <c r="G17" s="446"/>
      <c r="H17" s="447"/>
      <c r="I17" s="447"/>
      <c r="J17" s="447"/>
      <c r="K17" s="447"/>
      <c r="L17" s="447"/>
      <c r="M17" s="447"/>
      <c r="N17" s="448"/>
    </row>
    <row r="18" spans="4:14">
      <c r="D18" s="451"/>
      <c r="E18" s="452" t="s">
        <v>21</v>
      </c>
      <c r="F18" s="446"/>
      <c r="G18" s="446"/>
      <c r="H18" s="447"/>
      <c r="I18" s="447"/>
      <c r="J18" s="447"/>
      <c r="K18" s="447"/>
      <c r="L18" s="447"/>
      <c r="M18" s="447"/>
      <c r="N18" s="448"/>
    </row>
    <row r="19" spans="4:14">
      <c r="D19" s="445"/>
      <c r="E19" s="446"/>
      <c r="F19" s="446"/>
      <c r="G19" s="446"/>
      <c r="H19" s="447"/>
      <c r="I19" s="447"/>
      <c r="J19" s="447"/>
      <c r="K19" s="447"/>
      <c r="L19" s="447"/>
      <c r="M19" s="447"/>
      <c r="N19" s="448"/>
    </row>
    <row r="20" spans="4:14">
      <c r="D20" s="453" t="s">
        <v>22</v>
      </c>
      <c r="E20" s="454"/>
      <c r="F20" s="450"/>
      <c r="G20" s="450"/>
      <c r="H20" s="455"/>
      <c r="I20" s="455"/>
      <c r="J20" s="455"/>
      <c r="K20" s="455"/>
      <c r="L20" s="455"/>
      <c r="M20" s="455"/>
      <c r="N20" s="456"/>
    </row>
    <row r="21" spans="4:14">
      <c r="D21" s="449" t="s">
        <v>23</v>
      </c>
      <c r="E21" s="450"/>
      <c r="F21" s="450"/>
      <c r="G21" s="450"/>
      <c r="H21" s="455"/>
      <c r="I21" s="455"/>
      <c r="J21" s="455"/>
      <c r="K21" s="455"/>
      <c r="L21" s="455"/>
      <c r="M21" s="455"/>
      <c r="N21" s="456"/>
    </row>
    <row r="22" spans="4:14">
      <c r="D22" s="457"/>
      <c r="E22" s="450"/>
      <c r="F22" s="450"/>
      <c r="G22" s="450"/>
      <c r="H22" s="450"/>
      <c r="I22" s="450"/>
      <c r="J22" s="450"/>
      <c r="K22" s="450"/>
      <c r="L22" s="455"/>
      <c r="M22" s="455"/>
      <c r="N22" s="456"/>
    </row>
    <row r="23" spans="4:14">
      <c r="D23" s="458" t="s">
        <v>19</v>
      </c>
      <c r="E23" s="452" t="s">
        <v>24</v>
      </c>
      <c r="F23" s="450"/>
      <c r="G23" s="450"/>
      <c r="H23" s="450"/>
      <c r="I23" s="450"/>
      <c r="J23" s="450"/>
      <c r="K23" s="450"/>
      <c r="L23" s="455"/>
      <c r="M23" s="455"/>
      <c r="N23" s="456"/>
    </row>
    <row r="24" spans="4:14">
      <c r="D24" s="458"/>
      <c r="E24" s="450"/>
      <c r="F24" s="452" t="s">
        <v>25</v>
      </c>
      <c r="G24" s="450"/>
      <c r="H24" s="450"/>
      <c r="I24" s="450"/>
      <c r="J24" s="450"/>
      <c r="K24" s="450"/>
      <c r="L24" s="455"/>
      <c r="M24" s="455"/>
      <c r="N24" s="456"/>
    </row>
    <row r="25" spans="4:14">
      <c r="D25" s="457"/>
      <c r="E25" s="452" t="s">
        <v>26</v>
      </c>
      <c r="F25" s="450"/>
      <c r="G25" s="450"/>
      <c r="H25" s="450"/>
      <c r="I25" s="450"/>
      <c r="J25" s="450"/>
      <c r="K25" s="450"/>
      <c r="L25" s="455"/>
      <c r="M25" s="450"/>
      <c r="N25" s="456"/>
    </row>
    <row r="26" spans="4:14">
      <c r="D26" s="457"/>
      <c r="E26" s="450"/>
      <c r="F26" s="452" t="s">
        <v>27</v>
      </c>
      <c r="G26" s="450"/>
      <c r="H26" s="450"/>
      <c r="I26" s="450"/>
      <c r="J26" s="450"/>
      <c r="K26" s="450"/>
      <c r="L26" s="455"/>
      <c r="M26" s="450"/>
      <c r="N26" s="456"/>
    </row>
    <row r="27" spans="4:14">
      <c r="D27" s="457"/>
      <c r="E27" s="450"/>
      <c r="F27" s="452" t="s">
        <v>28</v>
      </c>
      <c r="G27" s="450"/>
      <c r="H27" s="450"/>
      <c r="I27" s="450"/>
      <c r="J27" s="450"/>
      <c r="K27" s="450"/>
      <c r="L27" s="455"/>
      <c r="M27" s="450"/>
      <c r="N27" s="456"/>
    </row>
    <row r="28" spans="4:14">
      <c r="D28" s="457"/>
      <c r="E28" s="450"/>
      <c r="F28" s="452" t="s">
        <v>29</v>
      </c>
      <c r="G28" s="450"/>
      <c r="H28" s="450"/>
      <c r="I28" s="450"/>
      <c r="J28" s="450"/>
      <c r="K28" s="450"/>
      <c r="L28" s="455"/>
      <c r="M28" s="455"/>
      <c r="N28" s="456"/>
    </row>
    <row r="29" spans="4:14">
      <c r="D29" s="458"/>
      <c r="E29" s="459" t="s">
        <v>30</v>
      </c>
      <c r="F29" s="454"/>
      <c r="G29" s="450"/>
      <c r="H29" s="450"/>
      <c r="I29" s="450"/>
      <c r="J29" s="450"/>
      <c r="K29" s="450"/>
      <c r="L29" s="455"/>
      <c r="M29" s="450"/>
      <c r="N29" s="456"/>
    </row>
    <row r="30" spans="4:14">
      <c r="D30" s="458"/>
      <c r="E30" s="454"/>
      <c r="F30" s="459" t="s">
        <v>31</v>
      </c>
      <c r="G30" s="450"/>
      <c r="H30" s="450"/>
      <c r="I30" s="450"/>
      <c r="J30" s="450"/>
      <c r="K30" s="450"/>
      <c r="L30" s="455"/>
      <c r="M30" s="450"/>
      <c r="N30" s="456"/>
    </row>
    <row r="31" spans="4:14">
      <c r="D31" s="458"/>
      <c r="E31" s="452" t="s">
        <v>32</v>
      </c>
      <c r="F31" s="454"/>
      <c r="G31" s="450"/>
      <c r="H31" s="450"/>
      <c r="I31" s="450"/>
      <c r="J31" s="450"/>
      <c r="K31" s="450"/>
      <c r="L31" s="455"/>
      <c r="M31" s="454"/>
      <c r="N31" s="456"/>
    </row>
    <row r="32" spans="4:14">
      <c r="D32" s="458"/>
      <c r="E32" s="450"/>
      <c r="F32" s="452" t="s">
        <v>33</v>
      </c>
      <c r="G32" s="450"/>
      <c r="H32" s="450"/>
      <c r="I32" s="450"/>
      <c r="J32" s="450"/>
      <c r="K32" s="450"/>
      <c r="L32" s="455"/>
      <c r="M32" s="454"/>
      <c r="N32" s="456"/>
    </row>
    <row r="33" spans="4:14">
      <c r="D33" s="458"/>
      <c r="E33" s="450"/>
      <c r="F33" s="450"/>
      <c r="G33" s="452" t="s">
        <v>34</v>
      </c>
      <c r="H33" s="450"/>
      <c r="I33" s="450"/>
      <c r="J33" s="450"/>
      <c r="K33" s="450"/>
      <c r="L33" s="455"/>
      <c r="M33" s="454"/>
      <c r="N33" s="456"/>
    </row>
    <row r="34" spans="4:14">
      <c r="D34" s="458"/>
      <c r="E34" s="450"/>
      <c r="F34" s="452" t="s">
        <v>35</v>
      </c>
      <c r="G34" s="450"/>
      <c r="H34" s="450"/>
      <c r="I34" s="450"/>
      <c r="J34" s="450"/>
      <c r="K34" s="450"/>
      <c r="L34" s="455"/>
      <c r="M34" s="454"/>
      <c r="N34" s="456"/>
    </row>
    <row r="35" spans="4:14">
      <c r="D35" s="458"/>
      <c r="E35" s="450"/>
      <c r="F35" s="450"/>
      <c r="G35" s="452" t="s">
        <v>36</v>
      </c>
      <c r="H35" s="450"/>
      <c r="I35" s="450"/>
      <c r="J35" s="450"/>
      <c r="K35" s="450"/>
      <c r="L35" s="455"/>
      <c r="M35" s="454"/>
      <c r="N35" s="456"/>
    </row>
    <row r="36" spans="4:14">
      <c r="D36" s="457"/>
      <c r="E36" s="459" t="s">
        <v>37</v>
      </c>
      <c r="F36" s="454"/>
      <c r="G36" s="454"/>
      <c r="H36" s="454"/>
      <c r="I36" s="454"/>
      <c r="J36" s="454"/>
      <c r="K36" s="450"/>
      <c r="L36" s="450"/>
      <c r="M36" s="454"/>
      <c r="N36" s="456"/>
    </row>
    <row r="37" spans="4:14">
      <c r="D37" s="457"/>
      <c r="E37" s="454"/>
      <c r="F37" s="459" t="s">
        <v>38</v>
      </c>
      <c r="G37" s="454"/>
      <c r="H37" s="454"/>
      <c r="I37" s="454"/>
      <c r="J37" s="454"/>
      <c r="K37" s="450"/>
      <c r="L37" s="450"/>
      <c r="M37" s="454"/>
      <c r="N37" s="456"/>
    </row>
    <row r="38" spans="4:14">
      <c r="D38" s="457"/>
      <c r="E38" s="459" t="s">
        <v>39</v>
      </c>
      <c r="F38" s="454"/>
      <c r="G38" s="454"/>
      <c r="H38" s="454"/>
      <c r="I38" s="454"/>
      <c r="J38" s="454"/>
      <c r="K38" s="455"/>
      <c r="L38" s="455"/>
      <c r="M38" s="454"/>
      <c r="N38" s="456"/>
    </row>
    <row r="39" spans="4:14">
      <c r="D39" s="457"/>
      <c r="E39" s="454"/>
      <c r="F39" s="459" t="s">
        <v>40</v>
      </c>
      <c r="G39" s="454"/>
      <c r="H39" s="454"/>
      <c r="I39" s="454"/>
      <c r="J39" s="454"/>
      <c r="K39" s="455"/>
      <c r="L39" s="455"/>
      <c r="M39" s="455"/>
      <c r="N39" s="456"/>
    </row>
    <row r="40" spans="4:14">
      <c r="D40" s="458"/>
      <c r="E40" s="460"/>
      <c r="F40" s="454"/>
      <c r="G40" s="454"/>
      <c r="H40" s="454"/>
      <c r="I40" s="461"/>
      <c r="J40" s="461"/>
      <c r="K40" s="455"/>
      <c r="L40" s="455"/>
      <c r="M40" s="455"/>
      <c r="N40" s="456"/>
    </row>
    <row r="41" spans="4:14">
      <c r="D41" s="458"/>
      <c r="E41" s="454"/>
      <c r="F41" s="460"/>
      <c r="G41" s="454"/>
      <c r="H41" s="454"/>
      <c r="I41" s="461"/>
      <c r="J41" s="461"/>
      <c r="K41" s="455"/>
      <c r="L41" s="455"/>
      <c r="M41" s="455"/>
      <c r="N41" s="456"/>
    </row>
    <row r="42" ht="17.1" customHeight="1" spans="4:14">
      <c r="D42" s="457"/>
      <c r="E42" s="459" t="s">
        <v>41</v>
      </c>
      <c r="F42" s="455"/>
      <c r="G42" s="455"/>
      <c r="H42" s="455"/>
      <c r="I42" s="455"/>
      <c r="J42" s="455"/>
      <c r="K42" s="462"/>
      <c r="L42" s="462"/>
      <c r="M42" s="455"/>
      <c r="N42" s="456"/>
    </row>
    <row r="43" ht="17.1" customHeight="1" spans="4:14">
      <c r="D43" s="457"/>
      <c r="E43" s="454"/>
      <c r="F43" s="459" t="s">
        <v>42</v>
      </c>
      <c r="G43" s="455"/>
      <c r="H43" s="455"/>
      <c r="I43" s="455"/>
      <c r="J43" s="455"/>
      <c r="K43" s="462"/>
      <c r="L43" s="455"/>
      <c r="M43" s="455"/>
      <c r="N43" s="456"/>
    </row>
    <row r="44" spans="4:14">
      <c r="D44" s="457"/>
      <c r="E44" s="459" t="s">
        <v>43</v>
      </c>
      <c r="F44" s="455"/>
      <c r="G44" s="455"/>
      <c r="H44" s="455"/>
      <c r="I44" s="455"/>
      <c r="J44" s="455"/>
      <c r="K44" s="455"/>
      <c r="L44" s="455"/>
      <c r="M44" s="455"/>
      <c r="N44" s="456"/>
    </row>
    <row r="45" spans="4:14">
      <c r="D45" s="457"/>
      <c r="E45" s="454"/>
      <c r="F45" s="459" t="s">
        <v>44</v>
      </c>
      <c r="G45" s="455"/>
      <c r="H45" s="455"/>
      <c r="I45" s="455"/>
      <c r="J45" s="455"/>
      <c r="K45" s="455"/>
      <c r="L45" s="455"/>
      <c r="M45" s="455"/>
      <c r="N45" s="456"/>
    </row>
    <row r="46" spans="4:14">
      <c r="D46" s="457"/>
      <c r="E46" s="459" t="s">
        <v>45</v>
      </c>
      <c r="F46" s="455"/>
      <c r="G46" s="455"/>
      <c r="H46" s="455"/>
      <c r="I46" s="455"/>
      <c r="J46" s="455"/>
      <c r="K46" s="455"/>
      <c r="L46" s="455"/>
      <c r="M46" s="455"/>
      <c r="N46" s="456"/>
    </row>
    <row r="47" spans="4:14">
      <c r="D47" s="457"/>
      <c r="E47" s="454"/>
      <c r="F47" s="459" t="s">
        <v>46</v>
      </c>
      <c r="G47" s="455"/>
      <c r="H47" s="455"/>
      <c r="I47" s="455"/>
      <c r="J47" s="455"/>
      <c r="K47" s="455"/>
      <c r="L47" s="455"/>
      <c r="M47" s="455"/>
      <c r="N47" s="456"/>
    </row>
    <row r="48" spans="4:14">
      <c r="D48" s="457"/>
      <c r="E48" s="459" t="s">
        <v>47</v>
      </c>
      <c r="F48" s="461"/>
      <c r="G48" s="455"/>
      <c r="H48" s="455"/>
      <c r="I48" s="455"/>
      <c r="J48" s="455"/>
      <c r="K48" s="455"/>
      <c r="L48" s="455"/>
      <c r="M48" s="455"/>
      <c r="N48" s="456"/>
    </row>
    <row r="49" spans="4:14">
      <c r="D49" s="457"/>
      <c r="E49" s="454"/>
      <c r="F49" s="459" t="s">
        <v>48</v>
      </c>
      <c r="G49" s="455"/>
      <c r="H49" s="455"/>
      <c r="I49" s="455"/>
      <c r="J49" s="455"/>
      <c r="K49" s="455"/>
      <c r="L49" s="455"/>
      <c r="M49" s="455"/>
      <c r="N49" s="456"/>
    </row>
    <row r="50" spans="4:14">
      <c r="D50" s="457"/>
      <c r="E50" s="459" t="s">
        <v>49</v>
      </c>
      <c r="F50" s="455"/>
      <c r="G50" s="455"/>
      <c r="H50" s="455"/>
      <c r="I50" s="455"/>
      <c r="J50" s="455"/>
      <c r="K50" s="455"/>
      <c r="L50" s="455"/>
      <c r="M50" s="455"/>
      <c r="N50" s="456"/>
    </row>
    <row r="51" spans="4:14">
      <c r="D51" s="457"/>
      <c r="E51" s="454"/>
      <c r="F51" s="459" t="s">
        <v>50</v>
      </c>
      <c r="G51" s="455"/>
      <c r="H51" s="455"/>
      <c r="I51" s="455"/>
      <c r="J51" s="455"/>
      <c r="K51" s="455"/>
      <c r="L51" s="455"/>
      <c r="M51" s="455"/>
      <c r="N51" s="456"/>
    </row>
    <row r="52" spans="4:14">
      <c r="D52" s="457"/>
      <c r="E52" s="459" t="s">
        <v>51</v>
      </c>
      <c r="F52" s="450"/>
      <c r="G52" s="455"/>
      <c r="H52" s="455"/>
      <c r="I52" s="455"/>
      <c r="J52" s="455"/>
      <c r="K52" s="455"/>
      <c r="L52" s="455"/>
      <c r="M52" s="455"/>
      <c r="N52" s="456"/>
    </row>
    <row r="53" spans="4:14">
      <c r="D53" s="457"/>
      <c r="E53" s="454"/>
      <c r="F53" s="459" t="s">
        <v>52</v>
      </c>
      <c r="G53" s="455"/>
      <c r="H53" s="455"/>
      <c r="I53" s="455"/>
      <c r="J53" s="455"/>
      <c r="K53" s="455"/>
      <c r="L53" s="455"/>
      <c r="M53" s="455"/>
      <c r="N53" s="456"/>
    </row>
    <row r="54" spans="4:14">
      <c r="D54" s="457"/>
      <c r="E54" s="459" t="s">
        <v>53</v>
      </c>
      <c r="F54" s="455"/>
      <c r="G54" s="455"/>
      <c r="H54" s="455"/>
      <c r="I54" s="455"/>
      <c r="J54" s="455"/>
      <c r="K54" s="455"/>
      <c r="L54" s="455"/>
      <c r="M54" s="455"/>
      <c r="N54" s="456"/>
    </row>
    <row r="55" spans="4:14">
      <c r="D55" s="457"/>
      <c r="E55" s="455"/>
      <c r="F55" s="459" t="s">
        <v>54</v>
      </c>
      <c r="G55" s="455"/>
      <c r="H55" s="455"/>
      <c r="I55" s="455"/>
      <c r="J55" s="455"/>
      <c r="K55" s="455"/>
      <c r="L55" s="455"/>
      <c r="M55" s="455"/>
      <c r="N55" s="456"/>
    </row>
    <row r="56" spans="4:14">
      <c r="D56" s="445"/>
      <c r="E56" s="463"/>
      <c r="F56" s="463"/>
      <c r="G56" s="447"/>
      <c r="H56" s="447"/>
      <c r="I56" s="447"/>
      <c r="J56" s="447"/>
      <c r="K56" s="447"/>
      <c r="L56" s="447"/>
      <c r="M56" s="447"/>
      <c r="N56" s="448"/>
    </row>
    <row r="57" spans="4:14">
      <c r="D57" s="464" t="s">
        <v>55</v>
      </c>
      <c r="E57" s="465"/>
      <c r="F57" s="465"/>
      <c r="G57" s="447"/>
      <c r="H57" s="447"/>
      <c r="I57" s="447"/>
      <c r="J57" s="447"/>
      <c r="K57" s="447"/>
      <c r="L57" s="447"/>
      <c r="M57" s="447"/>
      <c r="N57" s="448"/>
    </row>
    <row r="58" spans="4:14">
      <c r="D58" s="464"/>
      <c r="E58" s="465" t="s">
        <v>56</v>
      </c>
      <c r="F58" s="465"/>
      <c r="G58" s="447"/>
      <c r="H58" s="447"/>
      <c r="I58" s="447"/>
      <c r="J58" s="447"/>
      <c r="K58" s="447"/>
      <c r="L58" s="447"/>
      <c r="M58" s="447"/>
      <c r="N58" s="448"/>
    </row>
    <row r="59" spans="4:14">
      <c r="D59" s="464"/>
      <c r="E59" s="465"/>
      <c r="F59" s="466" t="s">
        <v>57</v>
      </c>
      <c r="G59" s="447"/>
      <c r="H59" s="447"/>
      <c r="I59" s="447"/>
      <c r="J59" s="447"/>
      <c r="K59" s="447"/>
      <c r="L59" s="447"/>
      <c r="M59" s="447"/>
      <c r="N59" s="448"/>
    </row>
    <row r="60" ht="17.25" spans="4:14">
      <c r="D60" s="464"/>
      <c r="E60" s="466"/>
      <c r="F60" s="466" t="s">
        <v>58</v>
      </c>
      <c r="G60" s="447"/>
      <c r="H60" s="447"/>
      <c r="I60" s="447"/>
      <c r="J60" s="447"/>
      <c r="K60" s="447"/>
      <c r="L60" s="447"/>
      <c r="M60" s="447"/>
      <c r="N60" s="448"/>
    </row>
    <row r="61" spans="4:14">
      <c r="D61" s="467" t="s">
        <v>59</v>
      </c>
      <c r="E61" s="468"/>
      <c r="F61" s="468"/>
      <c r="G61" s="468"/>
      <c r="H61" s="468"/>
      <c r="I61" s="468"/>
      <c r="J61" s="468"/>
      <c r="K61" s="468"/>
      <c r="L61" s="468"/>
      <c r="M61" s="468"/>
      <c r="N61" s="469"/>
    </row>
    <row r="62" spans="4:14">
      <c r="D62" s="470" t="s">
        <v>60</v>
      </c>
      <c r="E62" s="461"/>
      <c r="F62" s="455"/>
      <c r="G62" s="455"/>
      <c r="H62" s="455"/>
      <c r="I62" s="455"/>
      <c r="J62" s="455"/>
      <c r="K62" s="455"/>
      <c r="L62" s="455"/>
      <c r="M62" s="455"/>
      <c r="N62" s="456"/>
    </row>
    <row r="63" spans="4:14">
      <c r="D63" s="471" t="s">
        <v>61</v>
      </c>
      <c r="E63" s="461"/>
      <c r="F63" s="455"/>
      <c r="G63" s="455"/>
      <c r="H63" s="455"/>
      <c r="I63" s="455"/>
      <c r="J63" s="455"/>
      <c r="K63" s="455"/>
      <c r="L63" s="455"/>
      <c r="M63" s="455"/>
      <c r="N63" s="456"/>
    </row>
    <row r="64" spans="4:14">
      <c r="D64" s="449" t="s">
        <v>62</v>
      </c>
      <c r="E64" s="452"/>
      <c r="F64" s="455"/>
      <c r="G64" s="455"/>
      <c r="H64" s="455"/>
      <c r="I64" s="455"/>
      <c r="J64" s="455"/>
      <c r="K64" s="455"/>
      <c r="L64" s="455"/>
      <c r="M64" s="455"/>
      <c r="N64" s="456"/>
    </row>
    <row r="65" spans="4:14">
      <c r="D65" s="472"/>
      <c r="E65" s="452" t="s">
        <v>57</v>
      </c>
      <c r="F65" s="455"/>
      <c r="G65" s="455"/>
      <c r="H65" s="455"/>
      <c r="I65" s="455"/>
      <c r="J65" s="455"/>
      <c r="K65" s="455"/>
      <c r="L65" s="455"/>
      <c r="M65" s="455"/>
      <c r="N65" s="456"/>
    </row>
    <row r="66" spans="4:14">
      <c r="D66" s="472"/>
      <c r="E66" s="452" t="s">
        <v>58</v>
      </c>
      <c r="F66" s="455"/>
      <c r="G66" s="455"/>
      <c r="H66" s="455"/>
      <c r="I66" s="455"/>
      <c r="J66" s="455"/>
      <c r="K66" s="455"/>
      <c r="L66" s="455"/>
      <c r="M66" s="455"/>
      <c r="N66" s="456"/>
    </row>
    <row r="67" spans="4:14">
      <c r="D67" s="472"/>
      <c r="E67" s="459" t="s">
        <v>63</v>
      </c>
      <c r="F67" s="455"/>
      <c r="G67" s="455"/>
      <c r="H67" s="455"/>
      <c r="I67" s="455"/>
      <c r="J67" s="455"/>
      <c r="K67" s="455"/>
      <c r="L67" s="455"/>
      <c r="M67" s="455"/>
      <c r="N67" s="456"/>
    </row>
    <row r="68" spans="4:14">
      <c r="D68" s="472"/>
      <c r="E68" s="461"/>
      <c r="F68" s="455"/>
      <c r="G68" s="455"/>
      <c r="H68" s="455"/>
      <c r="I68" s="455"/>
      <c r="J68" s="455"/>
      <c r="K68" s="455"/>
      <c r="L68" s="455"/>
      <c r="M68" s="455"/>
      <c r="N68" s="456"/>
    </row>
    <row r="69" spans="4:14">
      <c r="D69" s="449" t="s">
        <v>64</v>
      </c>
      <c r="E69" s="455"/>
      <c r="F69" s="455"/>
      <c r="G69" s="455"/>
      <c r="H69" s="455"/>
      <c r="I69" s="455"/>
      <c r="J69" s="455"/>
      <c r="K69" s="455"/>
      <c r="L69" s="455"/>
      <c r="M69" s="455"/>
      <c r="N69" s="456"/>
    </row>
    <row r="70" spans="4:14">
      <c r="D70" s="449" t="s">
        <v>65</v>
      </c>
      <c r="E70" s="450"/>
      <c r="F70" s="450"/>
      <c r="G70" s="450"/>
      <c r="H70" s="450"/>
      <c r="I70" s="450"/>
      <c r="J70" s="455"/>
      <c r="K70" s="455"/>
      <c r="L70" s="455"/>
      <c r="M70" s="455"/>
      <c r="N70" s="456"/>
    </row>
    <row r="71" spans="4:14">
      <c r="D71" s="449" t="s">
        <v>66</v>
      </c>
      <c r="E71" s="450"/>
      <c r="F71" s="450"/>
      <c r="G71" s="455"/>
      <c r="H71" s="455"/>
      <c r="I71" s="455"/>
      <c r="J71" s="455"/>
      <c r="K71" s="455"/>
      <c r="L71" s="455"/>
      <c r="M71" s="455"/>
      <c r="N71" s="456"/>
    </row>
    <row r="72" spans="4:14">
      <c r="D72" s="449" t="s">
        <v>67</v>
      </c>
      <c r="E72" s="450"/>
      <c r="F72" s="450"/>
      <c r="G72" s="450"/>
      <c r="H72" s="450"/>
      <c r="I72" s="450"/>
      <c r="J72" s="450"/>
      <c r="K72" s="455"/>
      <c r="L72" s="455"/>
      <c r="M72" s="455"/>
      <c r="N72" s="456"/>
    </row>
    <row r="73" spans="4:14">
      <c r="D73" s="449" t="s">
        <v>68</v>
      </c>
      <c r="E73" s="450"/>
      <c r="F73" s="450"/>
      <c r="G73" s="450"/>
      <c r="H73" s="450"/>
      <c r="I73" s="450"/>
      <c r="J73" s="450"/>
      <c r="K73" s="455"/>
      <c r="L73" s="455"/>
      <c r="M73" s="455"/>
      <c r="N73" s="456"/>
    </row>
    <row r="74" spans="4:14">
      <c r="D74" s="449" t="s">
        <v>69</v>
      </c>
      <c r="E74" s="450"/>
      <c r="F74" s="450"/>
      <c r="G74" s="450"/>
      <c r="H74" s="450"/>
      <c r="I74" s="450"/>
      <c r="J74" s="450"/>
      <c r="K74" s="455"/>
      <c r="L74" s="455"/>
      <c r="M74" s="455"/>
      <c r="N74" s="456"/>
    </row>
    <row r="75" spans="4:14">
      <c r="D75" s="449" t="s">
        <v>70</v>
      </c>
      <c r="E75" s="450"/>
      <c r="F75" s="450"/>
      <c r="G75" s="450"/>
      <c r="H75" s="450"/>
      <c r="I75" s="450"/>
      <c r="J75" s="450"/>
      <c r="K75" s="455"/>
      <c r="L75" s="455"/>
      <c r="M75" s="455"/>
      <c r="N75" s="456"/>
    </row>
    <row r="76" ht="17.25" spans="4:14">
      <c r="D76" s="473" t="s">
        <v>71</v>
      </c>
      <c r="E76" s="474"/>
      <c r="F76" s="474"/>
      <c r="G76" s="474"/>
      <c r="H76" s="474"/>
      <c r="I76" s="474"/>
      <c r="J76" s="474"/>
      <c r="K76" s="475"/>
      <c r="L76" s="475"/>
      <c r="M76" s="475"/>
      <c r="N76" s="476"/>
    </row>
    <row r="82" spans="2:9">
      <c r="I82" s="199"/>
    </row>
    <row r="83" spans="2:9">
      <c r="B83" s="440"/>
      <c r="C83" s="44" t="s">
        <v>72</v>
      </c>
    </row>
    <row r="85" spans="2:9">
      <c r="D85" s="477" t="s">
        <v>73</v>
      </c>
      <c r="E85" s="477" t="s">
        <v>74</v>
      </c>
      <c r="F85" s="477" t="s">
        <v>75</v>
      </c>
      <c r="G85" s="477" t="s">
        <v>76</v>
      </c>
      <c r="H85" s="477" t="s">
        <v>77</v>
      </c>
    </row>
    <row r="86" spans="2:9">
      <c r="D86" s="17">
        <v>1</v>
      </c>
      <c r="E86" s="17" t="s">
        <v>78</v>
      </c>
      <c r="F86" s="17" t="s">
        <v>79</v>
      </c>
      <c r="G86" s="19" t="s">
        <v>80</v>
      </c>
      <c r="H86" s="19">
        <v>1</v>
      </c>
    </row>
    <row r="87" spans="2:9">
      <c r="D87" s="17">
        <v>2</v>
      </c>
      <c r="E87" s="17" t="s">
        <v>81</v>
      </c>
      <c r="F87" s="17" t="s">
        <v>82</v>
      </c>
      <c r="G87" s="19" t="s">
        <v>80</v>
      </c>
      <c r="H87" s="19">
        <v>10</v>
      </c>
    </row>
    <row r="88" spans="2:9">
      <c r="D88" s="17">
        <v>3</v>
      </c>
      <c r="E88" s="17" t="s">
        <v>83</v>
      </c>
      <c r="F88" s="478" t="s">
        <v>84</v>
      </c>
      <c r="G88" s="19" t="s">
        <v>85</v>
      </c>
      <c r="H88" s="19">
        <v>150</v>
      </c>
    </row>
    <row r="89" spans="2:9">
      <c r="D89" s="17">
        <v>4</v>
      </c>
      <c r="E89" s="17" t="s">
        <v>86</v>
      </c>
      <c r="F89" s="478" t="s">
        <v>87</v>
      </c>
      <c r="G89" s="19" t="s">
        <v>85</v>
      </c>
      <c r="H89" s="19">
        <v>150</v>
      </c>
    </row>
    <row r="90" spans="2:9">
      <c r="D90" s="17">
        <v>5</v>
      </c>
      <c r="E90" s="17" t="s">
        <v>88</v>
      </c>
      <c r="F90" s="17" t="s">
        <v>89</v>
      </c>
      <c r="G90" s="19" t="s">
        <v>85</v>
      </c>
      <c r="H90" s="19">
        <v>150</v>
      </c>
    </row>
    <row r="91" spans="2:9">
      <c r="D91" s="17">
        <v>6</v>
      </c>
      <c r="E91" s="17" t="s">
        <v>90</v>
      </c>
      <c r="F91" s="478" t="s">
        <v>91</v>
      </c>
      <c r="G91" s="19" t="s">
        <v>85</v>
      </c>
      <c r="H91" s="19">
        <v>150</v>
      </c>
    </row>
    <row r="92" spans="2:9">
      <c r="D92" s="17">
        <v>7</v>
      </c>
      <c r="E92" s="17" t="s">
        <v>92</v>
      </c>
      <c r="F92" s="478" t="s">
        <v>93</v>
      </c>
      <c r="G92" s="19" t="s">
        <v>85</v>
      </c>
      <c r="H92" s="19">
        <v>15</v>
      </c>
    </row>
    <row r="93" spans="2:9">
      <c r="D93" s="17">
        <v>8</v>
      </c>
      <c r="E93" s="478" t="s">
        <v>94</v>
      </c>
      <c r="F93" s="478" t="s">
        <v>95</v>
      </c>
      <c r="G93" s="19" t="s">
        <v>85</v>
      </c>
      <c r="H93" s="19">
        <v>15</v>
      </c>
    </row>
    <row r="94" spans="2:9">
      <c r="D94" s="17">
        <v>9</v>
      </c>
      <c r="E94" s="17" t="s">
        <v>96</v>
      </c>
      <c r="F94" s="478" t="s">
        <v>97</v>
      </c>
      <c r="G94" s="19" t="s">
        <v>85</v>
      </c>
      <c r="H94" s="19">
        <v>80</v>
      </c>
    </row>
    <row r="95" spans="2:9">
      <c r="D95" s="17">
        <v>10</v>
      </c>
      <c r="E95" s="17" t="s">
        <v>98</v>
      </c>
      <c r="F95" s="478" t="s">
        <v>99</v>
      </c>
      <c r="G95" s="19" t="s">
        <v>85</v>
      </c>
      <c r="H95" s="19">
        <v>80</v>
      </c>
    </row>
    <row r="96" spans="2:9">
      <c r="D96" s="17">
        <v>11</v>
      </c>
      <c r="E96" s="17" t="s">
        <v>100</v>
      </c>
      <c r="F96" s="478" t="s">
        <v>101</v>
      </c>
      <c r="G96" s="19" t="s">
        <v>80</v>
      </c>
      <c r="H96" s="19">
        <v>20</v>
      </c>
    </row>
    <row r="97" spans="4:8">
      <c r="D97" s="17">
        <v>12</v>
      </c>
      <c r="E97" s="17" t="s">
        <v>102</v>
      </c>
      <c r="F97" s="17" t="s">
        <v>103</v>
      </c>
      <c r="G97" s="19" t="s">
        <v>80</v>
      </c>
      <c r="H97" s="19">
        <f>H87*6</f>
        <v>60</v>
      </c>
    </row>
    <row r="98" spans="4:8">
      <c r="D98" s="17">
        <v>13</v>
      </c>
      <c r="E98" s="478" t="s">
        <v>104</v>
      </c>
      <c r="F98" s="478" t="s">
        <v>105</v>
      </c>
      <c r="G98" s="19" t="s">
        <v>80</v>
      </c>
      <c r="H98" s="19">
        <f>H94*6</f>
        <v>480</v>
      </c>
    </row>
    <row r="99" spans="4:8">
      <c r="D99" s="17">
        <v>14</v>
      </c>
      <c r="E99" s="478" t="s">
        <v>106</v>
      </c>
      <c r="F99" s="478" t="s">
        <v>107</v>
      </c>
      <c r="G99" s="19" t="s">
        <v>80</v>
      </c>
      <c r="H99" s="19">
        <f>H95*6</f>
        <v>480</v>
      </c>
    </row>
    <row r="100" spans="4:8">
      <c r="D100" s="17">
        <v>15</v>
      </c>
      <c r="E100" s="17" t="s">
        <v>108</v>
      </c>
      <c r="F100" s="478" t="s">
        <v>109</v>
      </c>
      <c r="G100" s="19" t="s">
        <v>80</v>
      </c>
      <c r="H100" s="19">
        <v>10</v>
      </c>
    </row>
    <row r="101" spans="4:8">
      <c r="D101" s="17">
        <v>16</v>
      </c>
      <c r="E101" s="17" t="s">
        <v>110</v>
      </c>
      <c r="F101" s="478" t="s">
        <v>111</v>
      </c>
      <c r="G101" s="19" t="s">
        <v>85</v>
      </c>
      <c r="H101" s="19">
        <v>80</v>
      </c>
    </row>
    <row r="102" spans="4:8">
      <c r="D102" s="17">
        <v>17</v>
      </c>
      <c r="E102" s="17" t="s">
        <v>112</v>
      </c>
      <c r="F102" s="478" t="s">
        <v>113</v>
      </c>
      <c r="G102" s="19" t="s">
        <v>85</v>
      </c>
      <c r="H102" s="19">
        <v>80</v>
      </c>
    </row>
    <row r="103" spans="4:8">
      <c r="D103" s="17">
        <v>18</v>
      </c>
      <c r="E103" s="17" t="s">
        <v>114</v>
      </c>
      <c r="F103" s="17" t="s">
        <v>115</v>
      </c>
      <c r="G103" s="19" t="s">
        <v>80</v>
      </c>
      <c r="H103" s="19">
        <v>10</v>
      </c>
    </row>
    <row r="104" spans="4:8">
      <c r="D104" s="17">
        <v>19</v>
      </c>
      <c r="E104" s="17" t="s">
        <v>116</v>
      </c>
      <c r="F104" s="478" t="s">
        <v>117</v>
      </c>
      <c r="G104" s="19" t="s">
        <v>85</v>
      </c>
      <c r="H104" s="19">
        <v>80</v>
      </c>
    </row>
    <row r="105" spans="4:8">
      <c r="D105" s="17">
        <v>20</v>
      </c>
      <c r="E105" s="17" t="s">
        <v>118</v>
      </c>
      <c r="F105" s="478" t="s">
        <v>119</v>
      </c>
      <c r="G105" s="19" t="s">
        <v>85</v>
      </c>
      <c r="H105" s="19">
        <v>80</v>
      </c>
    </row>
    <row r="106" spans="4:8">
      <c r="D106" s="17">
        <v>21</v>
      </c>
      <c r="E106" s="17" t="s">
        <v>120</v>
      </c>
      <c r="F106" s="478" t="s">
        <v>121</v>
      </c>
      <c r="G106" s="19" t="s">
        <v>80</v>
      </c>
      <c r="H106" s="19">
        <v>10</v>
      </c>
    </row>
    <row r="107" spans="4:8">
      <c r="D107" s="17">
        <v>22</v>
      </c>
      <c r="E107" s="17" t="s">
        <v>122</v>
      </c>
      <c r="F107" s="478" t="s">
        <v>123</v>
      </c>
      <c r="G107" s="19" t="s">
        <v>85</v>
      </c>
      <c r="H107" s="19">
        <v>80</v>
      </c>
    </row>
    <row r="108" spans="4:8">
      <c r="D108" s="17">
        <v>23</v>
      </c>
      <c r="E108" s="17" t="s">
        <v>124</v>
      </c>
      <c r="F108" s="478" t="s">
        <v>125</v>
      </c>
      <c r="G108" s="19" t="s">
        <v>85</v>
      </c>
      <c r="H108" s="19">
        <v>80</v>
      </c>
    </row>
    <row r="109" spans="4:8">
      <c r="D109" s="17">
        <v>24</v>
      </c>
      <c r="E109" s="17" t="s">
        <v>126</v>
      </c>
      <c r="F109" s="17" t="s">
        <v>127</v>
      </c>
      <c r="G109" s="19" t="s">
        <v>80</v>
      </c>
      <c r="H109" s="19">
        <v>10</v>
      </c>
    </row>
    <row r="110" spans="4:8">
      <c r="D110" s="17">
        <v>25</v>
      </c>
      <c r="E110" s="17" t="s">
        <v>128</v>
      </c>
      <c r="F110" s="478" t="s">
        <v>129</v>
      </c>
      <c r="G110" s="19" t="s">
        <v>85</v>
      </c>
      <c r="H110" s="19">
        <v>80</v>
      </c>
    </row>
    <row r="111" spans="4:8">
      <c r="D111" s="17">
        <v>26</v>
      </c>
      <c r="E111" s="17" t="s">
        <v>130</v>
      </c>
      <c r="F111" s="478" t="s">
        <v>131</v>
      </c>
      <c r="G111" s="19" t="s">
        <v>85</v>
      </c>
      <c r="H111" s="19">
        <v>80</v>
      </c>
    </row>
    <row r="112" spans="4:8">
      <c r="D112" s="17">
        <v>27</v>
      </c>
      <c r="E112" s="17" t="s">
        <v>132</v>
      </c>
      <c r="F112" s="478" t="s">
        <v>133</v>
      </c>
      <c r="G112" s="19" t="s">
        <v>80</v>
      </c>
      <c r="H112" s="19">
        <v>10</v>
      </c>
    </row>
    <row r="113" spans="4:8">
      <c r="D113" s="17">
        <v>28</v>
      </c>
      <c r="E113" s="17" t="s">
        <v>134</v>
      </c>
      <c r="F113" s="478" t="s">
        <v>135</v>
      </c>
      <c r="G113" s="19" t="s">
        <v>85</v>
      </c>
      <c r="H113" s="19">
        <v>80</v>
      </c>
    </row>
    <row r="114" spans="4:8">
      <c r="D114" s="17">
        <v>29</v>
      </c>
      <c r="E114" s="17" t="s">
        <v>136</v>
      </c>
      <c r="F114" s="478" t="s">
        <v>137</v>
      </c>
      <c r="G114" s="19" t="s">
        <v>85</v>
      </c>
      <c r="H114" s="19">
        <v>80</v>
      </c>
    </row>
    <row r="115" spans="4:8">
      <c r="D115" s="17">
        <v>30</v>
      </c>
      <c r="E115" s="17" t="s">
        <v>138</v>
      </c>
      <c r="F115" s="478" t="s">
        <v>139</v>
      </c>
      <c r="G115" s="19" t="s">
        <v>80</v>
      </c>
      <c r="H115" s="19">
        <v>10</v>
      </c>
    </row>
    <row r="116" spans="4:8">
      <c r="D116" s="17">
        <v>31</v>
      </c>
      <c r="E116" s="17" t="s">
        <v>140</v>
      </c>
      <c r="F116" s="478" t="s">
        <v>141</v>
      </c>
      <c r="G116" s="19" t="s">
        <v>85</v>
      </c>
      <c r="H116" s="19">
        <v>80</v>
      </c>
    </row>
    <row r="117" spans="4:8">
      <c r="D117" s="17">
        <v>32</v>
      </c>
      <c r="E117" s="17" t="s">
        <v>142</v>
      </c>
      <c r="F117" s="478" t="s">
        <v>143</v>
      </c>
      <c r="G117" s="19" t="s">
        <v>85</v>
      </c>
      <c r="H117" s="19">
        <v>80</v>
      </c>
    </row>
    <row r="118" spans="4:8">
      <c r="D118" s="17">
        <v>33</v>
      </c>
      <c r="E118" s="17" t="s">
        <v>144</v>
      </c>
      <c r="F118" s="17" t="s">
        <v>145</v>
      </c>
      <c r="G118" s="19" t="s">
        <v>85</v>
      </c>
      <c r="H118" s="19" t="s">
        <v>146</v>
      </c>
    </row>
    <row r="119" spans="4:8">
      <c r="D119" s="17">
        <v>34</v>
      </c>
      <c r="E119" s="478" t="s">
        <v>147</v>
      </c>
      <c r="F119" s="478" t="s">
        <v>148</v>
      </c>
      <c r="G119" s="19" t="s">
        <v>80</v>
      </c>
      <c r="H119" s="19" t="s">
        <v>146</v>
      </c>
    </row>
    <row r="120" spans="4:8">
      <c r="D120" s="17">
        <v>35</v>
      </c>
      <c r="E120" s="478" t="s">
        <v>149</v>
      </c>
      <c r="F120" s="478" t="s">
        <v>150</v>
      </c>
      <c r="G120" s="271" t="s">
        <v>85</v>
      </c>
      <c r="H120" s="271" t="s">
        <v>146</v>
      </c>
    </row>
    <row r="121" spans="4:8">
      <c r="D121" s="17">
        <v>36</v>
      </c>
      <c r="E121" s="478" t="s">
        <v>151</v>
      </c>
      <c r="F121" s="478" t="s">
        <v>152</v>
      </c>
      <c r="G121" s="479" t="s">
        <v>80</v>
      </c>
      <c r="H121" s="479" t="s">
        <v>146</v>
      </c>
    </row>
    <row r="122" spans="4:8">
      <c r="D122" s="17">
        <v>37</v>
      </c>
      <c r="E122" s="478" t="s">
        <v>153</v>
      </c>
      <c r="F122" s="478" t="s">
        <v>154</v>
      </c>
      <c r="G122" s="271" t="s">
        <v>85</v>
      </c>
      <c r="H122" s="271" t="s">
        <v>146</v>
      </c>
    </row>
    <row r="123" spans="4:8">
      <c r="D123" s="17">
        <v>38</v>
      </c>
      <c r="E123" s="478" t="s">
        <v>155</v>
      </c>
      <c r="F123" s="478" t="s">
        <v>156</v>
      </c>
      <c r="G123" s="479" t="s">
        <v>80</v>
      </c>
      <c r="H123" s="479" t="s">
        <v>146</v>
      </c>
    </row>
    <row r="124" spans="4:8">
      <c r="D124" s="17">
        <v>39</v>
      </c>
      <c r="E124" s="478" t="s">
        <v>157</v>
      </c>
      <c r="F124" s="478" t="s">
        <v>158</v>
      </c>
      <c r="G124" s="271" t="s">
        <v>85</v>
      </c>
      <c r="H124" s="19" t="s">
        <v>146</v>
      </c>
    </row>
    <row r="125" spans="4:8">
      <c r="D125" s="17">
        <v>40</v>
      </c>
      <c r="E125" s="478" t="s">
        <v>159</v>
      </c>
      <c r="F125" s="478" t="s">
        <v>160</v>
      </c>
      <c r="G125" s="479" t="s">
        <v>80</v>
      </c>
      <c r="H125" s="19" t="s">
        <v>146</v>
      </c>
    </row>
    <row r="126" spans="4:8">
      <c r="D126" s="17">
        <v>41</v>
      </c>
      <c r="E126" s="17" t="s">
        <v>161</v>
      </c>
      <c r="F126" s="478" t="s">
        <v>162</v>
      </c>
      <c r="G126" s="19" t="s">
        <v>85</v>
      </c>
      <c r="H126" s="19" t="s">
        <v>146</v>
      </c>
    </row>
    <row r="127" spans="4:8">
      <c r="D127" s="17">
        <v>42</v>
      </c>
      <c r="E127" s="17" t="s">
        <v>163</v>
      </c>
      <c r="F127" s="17" t="s">
        <v>164</v>
      </c>
      <c r="G127" s="19" t="s">
        <v>85</v>
      </c>
      <c r="H127" s="19" t="s">
        <v>146</v>
      </c>
    </row>
    <row r="128" spans="4:8">
      <c r="D128" s="17">
        <v>43</v>
      </c>
      <c r="E128" s="17" t="s">
        <v>165</v>
      </c>
      <c r="F128" s="17" t="s">
        <v>166</v>
      </c>
      <c r="G128" s="19" t="s">
        <v>85</v>
      </c>
      <c r="H128" s="19" t="s">
        <v>146</v>
      </c>
    </row>
    <row r="129" spans="2:21">
      <c r="D129" s="17">
        <v>44</v>
      </c>
      <c r="E129" s="17" t="s">
        <v>167</v>
      </c>
      <c r="F129" s="17" t="s">
        <v>168</v>
      </c>
      <c r="G129" s="19" t="s">
        <v>85</v>
      </c>
      <c r="H129" s="19" t="s">
        <v>146</v>
      </c>
    </row>
    <row r="130" spans="2:21">
      <c r="D130" s="17">
        <v>45</v>
      </c>
      <c r="E130" s="17" t="s">
        <v>169</v>
      </c>
      <c r="F130" s="17" t="s">
        <v>170</v>
      </c>
      <c r="G130" s="19" t="s">
        <v>85</v>
      </c>
      <c r="H130" s="19" t="s">
        <v>146</v>
      </c>
    </row>
    <row r="131" spans="2:21">
      <c r="D131" s="17">
        <v>46</v>
      </c>
      <c r="E131" s="17" t="s">
        <v>171</v>
      </c>
      <c r="F131" s="17" t="s">
        <v>172</v>
      </c>
      <c r="G131" s="19" t="s">
        <v>85</v>
      </c>
      <c r="H131" s="19" t="s">
        <v>146</v>
      </c>
      <c r="L131"/>
      <c r="M131"/>
    </row>
    <row r="132" spans="2:21">
      <c r="D132" s="17">
        <v>47</v>
      </c>
      <c r="E132" s="17" t="s">
        <v>173</v>
      </c>
      <c r="F132" s="17" t="s">
        <v>174</v>
      </c>
      <c r="G132" s="19" t="s">
        <v>85</v>
      </c>
      <c r="H132" s="19" t="s">
        <v>146</v>
      </c>
      <c r="L132"/>
      <c r="M132"/>
    </row>
    <row r="133" spans="2:21">
      <c r="D133" s="17">
        <v>48</v>
      </c>
      <c r="E133" s="17" t="s">
        <v>175</v>
      </c>
      <c r="F133" s="17" t="s">
        <v>176</v>
      </c>
      <c r="G133" s="19" t="s">
        <v>85</v>
      </c>
      <c r="H133" s="19" t="s">
        <v>146</v>
      </c>
      <c r="L133"/>
      <c r="M133"/>
    </row>
    <row r="134" spans="2:21">
      <c r="L134"/>
      <c r="M134"/>
    </row>
    <row r="135" spans="2:21">
      <c r="J135" s="311"/>
      <c r="K135" s="311"/>
      <c r="L135"/>
      <c r="M135"/>
      <c r="N135" s="311"/>
      <c r="P135" s="311"/>
      <c r="Q135" s="311"/>
    </row>
    <row r="136" spans="2:21">
      <c r="B136" s="440"/>
      <c r="C136" s="480" t="s">
        <v>177</v>
      </c>
      <c r="L136"/>
      <c r="M136"/>
    </row>
    <row r="137" spans="2:21">
      <c r="L137" s="19" t="s">
        <v>178</v>
      </c>
      <c r="M137" s="19" t="s">
        <v>178</v>
      </c>
      <c r="N137" s="19" t="s">
        <v>178</v>
      </c>
      <c r="O137" s="19" t="s">
        <v>178</v>
      </c>
      <c r="P137" s="19" t="s">
        <v>178</v>
      </c>
      <c r="Q137" s="19"/>
    </row>
    <row r="138" spans="2:21">
      <c r="D138" s="481"/>
      <c r="E138" s="271"/>
      <c r="F138" s="271"/>
      <c r="G138" s="273" t="s">
        <v>179</v>
      </c>
      <c r="H138" s="273"/>
      <c r="I138" s="273" t="s">
        <v>180</v>
      </c>
      <c r="J138" s="273"/>
      <c r="K138" s="273"/>
      <c r="L138" s="314" t="s">
        <v>181</v>
      </c>
      <c r="M138" s="274"/>
      <c r="N138" s="274"/>
      <c r="O138" s="274"/>
      <c r="P138" s="274"/>
      <c r="Q138" s="315"/>
      <c r="R138" s="273" t="s">
        <v>182</v>
      </c>
      <c r="S138" s="273"/>
      <c r="T138" s="273"/>
      <c r="U138" s="273"/>
    </row>
    <row r="139" spans="2:21">
      <c r="D139" s="275" t="s">
        <v>183</v>
      </c>
      <c r="E139" s="318" t="s">
        <v>184</v>
      </c>
      <c r="F139" s="318" t="s">
        <v>185</v>
      </c>
      <c r="G139" s="278" t="s">
        <v>186</v>
      </c>
      <c r="H139" s="278" t="s">
        <v>187</v>
      </c>
      <c r="I139" s="278" t="s">
        <v>92</v>
      </c>
      <c r="J139" s="278" t="s">
        <v>188</v>
      </c>
      <c r="K139" s="278" t="s">
        <v>189</v>
      </c>
      <c r="L139" s="278" t="s">
        <v>190</v>
      </c>
      <c r="M139" s="278" t="s">
        <v>191</v>
      </c>
      <c r="N139" s="278" t="s">
        <v>192</v>
      </c>
      <c r="O139" s="278" t="s">
        <v>193</v>
      </c>
      <c r="P139" s="278" t="s">
        <v>88</v>
      </c>
      <c r="Q139" s="278" t="s">
        <v>194</v>
      </c>
      <c r="R139" s="278" t="s">
        <v>195</v>
      </c>
      <c r="S139" s="278" t="s">
        <v>196</v>
      </c>
      <c r="T139" s="278" t="s">
        <v>197</v>
      </c>
      <c r="U139" s="278" t="s">
        <v>198</v>
      </c>
    </row>
    <row r="140" spans="2:21">
      <c r="D140" s="319" t="s">
        <v>199</v>
      </c>
      <c r="E140" s="320"/>
      <c r="F140" s="321">
        <f>G140*H140*J140*K140*L140*M140*N140*O140*Q140*(P140*I140+1-P140)</f>
        <v>2157600</v>
      </c>
      <c r="G140" s="321">
        <v>10000</v>
      </c>
      <c r="H140" s="320">
        <v>2</v>
      </c>
      <c r="I140" s="320">
        <v>8</v>
      </c>
      <c r="J140" s="320">
        <v>2</v>
      </c>
      <c r="K140" s="320">
        <v>2.9</v>
      </c>
      <c r="L140" s="320">
        <v>2</v>
      </c>
      <c r="M140" s="320">
        <v>2</v>
      </c>
      <c r="N140" s="320">
        <v>1.5</v>
      </c>
      <c r="O140" s="320">
        <v>1</v>
      </c>
      <c r="P140" s="320">
        <v>0.3</v>
      </c>
      <c r="Q140" s="320">
        <v>1</v>
      </c>
      <c r="R140" s="320"/>
      <c r="S140" s="320"/>
      <c r="T140" s="320"/>
      <c r="U140" s="320"/>
    </row>
    <row r="141" spans="2:21">
      <c r="C141" s="482"/>
      <c r="D141" s="483" t="s">
        <v>200</v>
      </c>
      <c r="E141" s="484"/>
      <c r="F141" s="485">
        <f>F140*1.01</f>
        <v>2179176</v>
      </c>
      <c r="G141" s="485">
        <f>G140*1.01</f>
        <v>10100</v>
      </c>
      <c r="H141" s="484">
        <f>H140+0.01</f>
        <v>2.01</v>
      </c>
      <c r="I141" s="484">
        <f>I140+0.01</f>
        <v>8.01</v>
      </c>
      <c r="J141" s="484">
        <f t="shared" ref="J141:P141" si="0">J140+0.01</f>
        <v>2.01</v>
      </c>
      <c r="K141" s="484">
        <f t="shared" si="0"/>
        <v>2.91</v>
      </c>
      <c r="L141" s="484">
        <f t="shared" si="0"/>
        <v>2.01</v>
      </c>
      <c r="M141" s="484">
        <f t="shared" si="0"/>
        <v>2.01</v>
      </c>
      <c r="N141" s="484">
        <f t="shared" si="0"/>
        <v>1.51</v>
      </c>
      <c r="O141" s="484">
        <f t="shared" si="0"/>
        <v>1.01</v>
      </c>
      <c r="P141" s="484">
        <f t="shared" si="0"/>
        <v>0.31</v>
      </c>
      <c r="Q141" s="484">
        <v>1.01</v>
      </c>
      <c r="R141" s="484"/>
      <c r="S141" s="484"/>
      <c r="T141" s="320"/>
      <c r="U141" s="320"/>
    </row>
    <row r="142" spans="2:21">
      <c r="C142" s="482"/>
      <c r="D142" s="483" t="s">
        <v>201</v>
      </c>
      <c r="E142" s="485">
        <f>F140/(G140*(H140)*(P140*I140+1-P140)*J140*K140*M140*L140*N140*O140*Q140*1)</f>
        <v>1</v>
      </c>
      <c r="F142" s="485">
        <f>F141/(G140*(H140)*(P140*I140+1-P140)*J140*K140*M140*L140*N140*O140*Q140*1)</f>
        <v>1.01</v>
      </c>
      <c r="G142" s="485">
        <f>F140/(G141*(H140)*(P140*I140+1-P140)*J140*K140*M140*L140*N140*O140*Q140*1)</f>
        <v>0.99009900990099</v>
      </c>
      <c r="H142" s="485">
        <f>F140/(G140*(H141)*(P140*I140+1-P140)*J140*K140*M140*L140*N140*O140*Q140*1)</f>
        <v>0.995024875621891</v>
      </c>
      <c r="I142" s="484">
        <f>F140/(G140*(H140)*(P140*I141+1-P140)*J140*K140*M140*L140*N140*O140*Q140*1)</f>
        <v>0.999033193683532</v>
      </c>
      <c r="J142" s="485">
        <f>F140/(G140*(H140)*(P140*I140+1-P140)*J141*K140*M140*L140*N140*O140*Q140*1)</f>
        <v>0.995024875621891</v>
      </c>
      <c r="K142" s="485">
        <f>F140/(G140*(H140)*(P140*I140+1-P140)*J140*K141*M140*L140*N140*O140*Q140*1)</f>
        <v>0.996563573883162</v>
      </c>
      <c r="L142" s="485">
        <f>F140/(G140*(H140)*(P140*I140+1-P140)*J140*K140*M140*L141*N140*O140*Q140*1)</f>
        <v>0.995024875621891</v>
      </c>
      <c r="M142" s="485">
        <f>F140/(G140*(H140)*(P140*I140+1-P140)*J140*K140*M141*L140*N140*O140*Q140*1)</f>
        <v>0.995024875621891</v>
      </c>
      <c r="N142" s="485">
        <f>F140/(G140*(H140)*(P140*I140+1-P140)*J140*K140*M140*L140*N141*O140*Q140*1)</f>
        <v>0.993377483443709</v>
      </c>
      <c r="O142" s="485">
        <f>F140/(G140*(H140)*(P140*I140+1-P140)*J140*K140*M140*L140*N140*O141*Q140*1)</f>
        <v>0.99009900990099</v>
      </c>
      <c r="P142" s="485">
        <f>F140/(G140*(H140)*((P141*I140+1-P141))*J140*K140*M140*L140*N140*O140*Q140*1)</f>
        <v>0.977917981072555</v>
      </c>
      <c r="Q142" s="485">
        <f>F140/(G140*(H140)*(P140*I140+1-P140)*J140*K140*M140*L140*N140*O140*Q141*1)</f>
        <v>0.99009900990099</v>
      </c>
      <c r="R142" s="485"/>
      <c r="S142" s="485"/>
      <c r="T142" s="321"/>
      <c r="U142" s="321"/>
    </row>
    <row r="143" spans="2:21">
      <c r="C143" s="482"/>
      <c r="D143" s="483" t="s">
        <v>202</v>
      </c>
      <c r="E143" s="484"/>
      <c r="F143" s="485">
        <f>ABS(F142-E142)/ABS(F142-E142)</f>
        <v>1</v>
      </c>
      <c r="G143" s="485">
        <f>ABS(G142-E142)/ABS(F142-E142)</f>
        <v>0.99009900990099</v>
      </c>
      <c r="H143" s="485">
        <f>ABS(H142-E142)/ABS(F142-E142)</f>
        <v>0.49751243781092</v>
      </c>
      <c r="I143" s="485">
        <f>ABS(I142-E142)/ABS(F142-E142)</f>
        <v>0.0966806316468171</v>
      </c>
      <c r="J143" s="485">
        <f>ABS(J142-E142)/ABS(F142-E142)</f>
        <v>0.49751243781092</v>
      </c>
      <c r="K143" s="485">
        <f>ABS(K142-E142)/ABS(F142-E142)</f>
        <v>0.343642611683847</v>
      </c>
      <c r="L143" s="485">
        <f>ABS(L142-E142)/ABS(F142-E142)</f>
        <v>0.49751243781092</v>
      </c>
      <c r="M143" s="485">
        <f>ABS(M142-E142)/ABS(F142-E142)</f>
        <v>0.49751243781092</v>
      </c>
      <c r="N143" s="485">
        <f>ABS(N142-E142)/ABS(F142-E142)</f>
        <v>0.662251655629142</v>
      </c>
      <c r="O143" s="485">
        <f>ABS(O142-E142)/ABS(F142-E142)</f>
        <v>0.99009900990099</v>
      </c>
      <c r="P143" s="485">
        <f>ABS(P142-E142)/ABS(F142-E142)</f>
        <v>2.20820189274447</v>
      </c>
      <c r="Q143" s="485">
        <f>ABS(Q142-E142)/ABS(F142-E142)</f>
        <v>0.99009900990099</v>
      </c>
      <c r="R143" s="485"/>
      <c r="S143" s="485"/>
      <c r="T143" s="321"/>
      <c r="U143" s="321"/>
    </row>
    <row r="144" spans="2:21">
      <c r="C144" s="482"/>
      <c r="D144" s="483"/>
      <c r="E144" s="484"/>
      <c r="F144" s="485"/>
      <c r="G144" s="485"/>
      <c r="H144" s="485"/>
      <c r="I144" s="485"/>
      <c r="J144" s="485"/>
      <c r="K144" s="485"/>
      <c r="L144" s="485"/>
      <c r="M144" s="485"/>
      <c r="N144" s="485"/>
      <c r="O144" s="485"/>
      <c r="P144" s="485"/>
      <c r="Q144" s="485"/>
      <c r="R144" s="485"/>
      <c r="S144" s="485"/>
      <c r="T144" s="321"/>
      <c r="U144" s="321"/>
    </row>
    <row r="145" spans="3:21">
      <c r="C145" s="482"/>
      <c r="D145" s="483" t="s">
        <v>203</v>
      </c>
      <c r="E145" s="484"/>
      <c r="F145" s="485"/>
      <c r="G145" s="486">
        <f>G143/G143*0.07</f>
        <v>0.07</v>
      </c>
      <c r="H145" s="486">
        <f>G143/H143*0.07</f>
        <v>0.139306930693076</v>
      </c>
      <c r="I145" s="486">
        <f>H143/I143*0.07</f>
        <v>0.360215588722945</v>
      </c>
      <c r="J145" s="486">
        <f>G143/J143*0.07</f>
        <v>0.139306930693076</v>
      </c>
      <c r="K145" s="486">
        <f>G143/K143*0.07</f>
        <v>0.201683168316833</v>
      </c>
      <c r="L145" s="486">
        <f>G143/L143*0.07</f>
        <v>0.139306930693076</v>
      </c>
      <c r="M145" s="486">
        <f>G143/M143*0.07</f>
        <v>0.139306930693076</v>
      </c>
      <c r="N145" s="486">
        <f>G143/N143*0.07</f>
        <v>0.104653465346534</v>
      </c>
      <c r="O145" s="486">
        <f>G143/O143*0.07</f>
        <v>0.07</v>
      </c>
      <c r="P145" s="486">
        <f>G143/P143*0.07</f>
        <v>0.0313861386138614</v>
      </c>
      <c r="Q145" s="486">
        <f>G143/Q143*0.07</f>
        <v>0.07</v>
      </c>
      <c r="R145" s="486"/>
      <c r="S145" s="486"/>
      <c r="T145" s="326"/>
      <c r="U145" s="326"/>
    </row>
    <row r="146" ht="15" customHeight="1" spans="3:21">
      <c r="C146" s="482"/>
      <c r="D146" s="483" t="s">
        <v>204</v>
      </c>
      <c r="E146" s="484"/>
      <c r="F146" s="485"/>
      <c r="G146" s="485">
        <v>1000</v>
      </c>
      <c r="H146" s="487">
        <f>CEILING($G$146*$G$145/H145,10)</f>
        <v>510</v>
      </c>
      <c r="I146" s="487">
        <f t="shared" ref="I146:Q146" si="1">CEILING($G$146*$G$145/I145,10)</f>
        <v>200</v>
      </c>
      <c r="J146" s="487">
        <f t="shared" si="1"/>
        <v>510</v>
      </c>
      <c r="K146" s="487">
        <f t="shared" si="1"/>
        <v>350</v>
      </c>
      <c r="L146" s="487">
        <f t="shared" si="1"/>
        <v>510</v>
      </c>
      <c r="M146" s="487">
        <f t="shared" si="1"/>
        <v>510</v>
      </c>
      <c r="N146" s="487">
        <f t="shared" si="1"/>
        <v>670</v>
      </c>
      <c r="O146" s="487">
        <f t="shared" si="1"/>
        <v>1000</v>
      </c>
      <c r="P146" s="487">
        <f t="shared" si="1"/>
        <v>2240</v>
      </c>
      <c r="Q146" s="487">
        <f t="shared" si="1"/>
        <v>1000</v>
      </c>
      <c r="R146" s="484"/>
      <c r="S146" s="484"/>
      <c r="T146" s="320"/>
      <c r="U146" s="320"/>
    </row>
    <row r="147" ht="15" customHeight="1" spans="3:21">
      <c r="C147" s="482"/>
      <c r="D147" s="483"/>
      <c r="E147" s="484"/>
      <c r="F147" s="485"/>
      <c r="G147" s="485"/>
      <c r="H147" s="484"/>
      <c r="I147" s="484"/>
      <c r="J147" s="484"/>
      <c r="K147" s="484"/>
      <c r="L147" s="484"/>
      <c r="M147" s="484"/>
      <c r="N147" s="484"/>
      <c r="O147" s="484"/>
      <c r="P147" s="484"/>
      <c r="Q147" s="484"/>
      <c r="R147" s="484"/>
      <c r="S147" s="484"/>
      <c r="T147" s="320"/>
      <c r="U147" s="320"/>
    </row>
    <row r="148" ht="17.1" customHeight="1" spans="3:21">
      <c r="C148" s="482"/>
      <c r="D148" s="483"/>
      <c r="E148" s="484"/>
      <c r="F148" s="321"/>
      <c r="G148" s="321"/>
      <c r="H148" s="320"/>
      <c r="I148" s="484"/>
      <c r="J148" s="484"/>
      <c r="K148" s="484"/>
      <c r="L148" s="484"/>
      <c r="M148" s="484"/>
      <c r="N148" s="484"/>
      <c r="O148" s="484"/>
      <c r="P148" s="484"/>
      <c r="Q148" s="484"/>
      <c r="R148" s="484"/>
      <c r="S148" s="484"/>
      <c r="T148" s="331"/>
      <c r="U148" s="331"/>
    </row>
    <row r="149" spans="3:21">
      <c r="C149" s="482"/>
      <c r="D149" s="483"/>
      <c r="E149" s="485"/>
      <c r="F149" s="485"/>
      <c r="G149" s="485"/>
      <c r="H149" s="484"/>
      <c r="I149" s="484"/>
      <c r="J149" s="486"/>
      <c r="K149" s="486"/>
      <c r="L149" s="484"/>
      <c r="M149" s="484"/>
      <c r="N149" s="484"/>
      <c r="O149" s="484"/>
      <c r="P149" s="484"/>
      <c r="Q149" s="484"/>
      <c r="R149" s="484"/>
      <c r="S149" s="484"/>
      <c r="T149" s="320"/>
      <c r="U149" s="320"/>
    </row>
    <row r="150" spans="3:21">
      <c r="C150" s="482"/>
      <c r="D150" s="483"/>
      <c r="E150" s="485"/>
      <c r="F150" s="485"/>
      <c r="G150" s="485"/>
      <c r="H150" s="485"/>
      <c r="I150" s="485"/>
      <c r="J150" s="485"/>
      <c r="K150" s="485"/>
      <c r="L150" s="485"/>
      <c r="M150" s="485"/>
      <c r="N150" s="485"/>
      <c r="O150" s="485"/>
      <c r="P150" s="485"/>
      <c r="Q150" s="485"/>
      <c r="R150" s="485"/>
      <c r="S150" s="485"/>
      <c r="T150" s="321"/>
      <c r="U150" s="321"/>
    </row>
    <row r="151" spans="3:21">
      <c r="C151" s="482"/>
      <c r="D151" s="483"/>
      <c r="E151" s="485"/>
      <c r="F151" s="485"/>
      <c r="G151" s="485"/>
      <c r="H151" s="485"/>
      <c r="I151" s="485"/>
      <c r="J151" s="485"/>
      <c r="K151" s="485"/>
      <c r="L151" s="485"/>
      <c r="M151" s="485"/>
      <c r="N151" s="485"/>
      <c r="O151" s="485"/>
      <c r="P151" s="485"/>
      <c r="Q151" s="485"/>
      <c r="R151" s="485"/>
      <c r="S151" s="485"/>
      <c r="T151" s="321"/>
      <c r="U151" s="321"/>
    </row>
    <row r="152" spans="3:21">
      <c r="C152" s="482"/>
      <c r="D152" s="483"/>
      <c r="E152" s="487"/>
      <c r="F152" s="485"/>
      <c r="G152" s="488"/>
      <c r="H152" s="488"/>
      <c r="I152" s="488"/>
      <c r="J152" s="488"/>
      <c r="K152" s="488"/>
      <c r="L152" s="488"/>
      <c r="M152" s="488"/>
      <c r="N152" s="488"/>
      <c r="O152" s="488"/>
      <c r="P152" s="488"/>
      <c r="Q152" s="488"/>
      <c r="R152" s="488"/>
      <c r="S152" s="488"/>
      <c r="T152" s="334"/>
      <c r="U152" s="334"/>
    </row>
    <row r="153" spans="3:21">
      <c r="C153" s="482"/>
      <c r="D153" s="483"/>
      <c r="E153" s="487"/>
      <c r="F153" s="485"/>
      <c r="G153" s="486"/>
      <c r="H153" s="486"/>
      <c r="I153" s="486"/>
      <c r="J153" s="486"/>
      <c r="K153" s="486"/>
      <c r="L153" s="486"/>
      <c r="M153" s="486"/>
      <c r="N153" s="486"/>
      <c r="O153" s="486"/>
      <c r="P153" s="486"/>
      <c r="Q153" s="486"/>
      <c r="R153" s="486"/>
      <c r="S153" s="486"/>
      <c r="T153" s="337"/>
      <c r="U153" s="337"/>
    </row>
    <row r="154" spans="3:21">
      <c r="C154" s="482"/>
      <c r="D154" s="483"/>
      <c r="E154" s="485"/>
      <c r="F154" s="485"/>
      <c r="G154" s="489"/>
      <c r="H154" s="486"/>
      <c r="I154" s="486"/>
      <c r="J154" s="486"/>
      <c r="K154" s="486"/>
      <c r="L154" s="486"/>
      <c r="M154" s="486"/>
      <c r="N154" s="486"/>
      <c r="O154" s="486"/>
      <c r="P154" s="490"/>
      <c r="Q154" s="490"/>
      <c r="R154" s="486"/>
      <c r="S154" s="486"/>
      <c r="T154" s="326"/>
      <c r="U154" s="338"/>
    </row>
    <row r="155" spans="3:21">
      <c r="C155" s="482"/>
      <c r="D155" s="482"/>
      <c r="E155" s="482"/>
      <c r="F155" s="482"/>
      <c r="G155" s="482"/>
      <c r="H155" s="482"/>
      <c r="I155" s="482"/>
      <c r="J155" s="482"/>
      <c r="K155" s="482"/>
      <c r="L155" s="482"/>
      <c r="M155" s="482"/>
      <c r="N155" s="482"/>
      <c r="O155" s="482"/>
      <c r="P155" s="482"/>
      <c r="Q155" s="482"/>
      <c r="R155" s="482"/>
      <c r="S155" s="482"/>
    </row>
  </sheetData>
  <mergeCells count="4">
    <mergeCell ref="G138:H138"/>
    <mergeCell ref="I138:K138"/>
    <mergeCell ref="L138:Q138"/>
    <mergeCell ref="R138:U138"/>
  </mergeCells>
  <pageMargins left="0.75" right="0.75" top="1" bottom="1" header="0.5" footer="0.5"/>
  <headerFooter/>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养成框架">
    <tabColor rgb="FFFFFFFF"/>
  </sheetPr>
  <dimension ref="A2:AD637"/>
  <sheetViews>
    <sheetView showGridLines="0" tabSelected="1" topLeftCell="A45" workbookViewId="0">
      <selection activeCell="M156" sqref="M156"/>
    </sheetView>
  </sheetViews>
  <sheetFormatPr defaultColWidth="10.2857142857143" defaultRowHeight="16.5"/>
  <cols>
    <col min="1" max="1" width="11.1428571428571" style="80" customWidth="1"/>
    <col min="2" max="2" width="2.71428571428571" style="80" customWidth="1"/>
    <col min="3" max="3" width="2.85714285714286" style="80" customWidth="1"/>
    <col min="4" max="4" width="9.71428571428571" style="19" customWidth="1"/>
    <col min="5" max="5" width="17.6380952380952" style="19" customWidth="1"/>
    <col min="6" max="6" width="16.2857142857143" style="19" customWidth="1"/>
    <col min="7" max="7" width="14.1428571428571" style="19" customWidth="1"/>
    <col min="8" max="8" width="12" style="19" customWidth="1"/>
    <col min="9" max="9" width="11.5714285714286" style="19" customWidth="1"/>
    <col min="10" max="10" width="15.1428571428571" style="19" customWidth="1"/>
    <col min="11" max="11" width="10.8571428571429" style="19" customWidth="1"/>
    <col min="12" max="12" width="14.1428571428571" style="19" customWidth="1"/>
    <col min="13" max="13" width="9.71428571428571" style="19" customWidth="1"/>
    <col min="14" max="14" width="12.2857142857143" style="19" customWidth="1"/>
    <col min="15" max="15" width="12.5714285714286" style="19" customWidth="1"/>
    <col min="16" max="16" width="12.4285714285714" style="19" customWidth="1"/>
    <col min="17" max="17" width="15" style="19" customWidth="1"/>
    <col min="18" max="18" width="16.8571428571429" style="19" customWidth="1"/>
    <col min="19" max="19" width="9.71428571428571" style="19" customWidth="1"/>
    <col min="20" max="20" width="9.85714285714286" style="19" customWidth="1"/>
    <col min="21" max="21" width="9.71428571428571" style="19" customWidth="1"/>
    <col min="22" max="22" width="10.5714285714286" style="19"/>
    <col min="23" max="23" width="12.1428571428571" style="19" customWidth="1"/>
    <col min="24" max="24" width="15.8571428571429" style="19"/>
    <col min="25" max="25" width="13.2857142857143" style="19"/>
    <col min="26" max="26" width="14.5714285714286" style="19"/>
    <col min="27" max="16384" width="10.2857142857143" style="19"/>
  </cols>
  <sheetData>
    <row r="2" spans="2:21">
      <c r="B2" s="345"/>
      <c r="C2" s="346" t="s">
        <v>205</v>
      </c>
      <c r="D2" s="344"/>
      <c r="E2" s="354"/>
      <c r="F2" s="354"/>
      <c r="G2" s="354"/>
      <c r="H2" s="354"/>
      <c r="I2" s="354"/>
      <c r="J2" s="354"/>
      <c r="K2" s="354"/>
      <c r="L2" s="354"/>
      <c r="M2" s="354"/>
      <c r="N2" s="354"/>
      <c r="O2" s="354"/>
      <c r="P2" s="354"/>
      <c r="Q2" s="354"/>
      <c r="R2" s="354"/>
      <c r="S2" s="354"/>
      <c r="T2" s="354"/>
      <c r="U2" s="354"/>
    </row>
    <row r="3" spans="2:21">
      <c r="B3" s="347"/>
      <c r="C3" s="347"/>
      <c r="D3" s="88" t="s">
        <v>206</v>
      </c>
      <c r="E3" s="87" t="s">
        <v>207</v>
      </c>
      <c r="F3" s="354"/>
      <c r="G3" s="354"/>
      <c r="H3" s="354"/>
      <c r="I3" s="354"/>
      <c r="J3" s="354"/>
      <c r="K3" s="354"/>
      <c r="L3" s="354"/>
      <c r="M3" s="354"/>
      <c r="N3" s="354"/>
      <c r="O3" s="354"/>
      <c r="P3" s="354"/>
      <c r="Q3" s="354"/>
      <c r="R3" s="354"/>
      <c r="S3" s="354"/>
      <c r="T3" s="354"/>
      <c r="U3" s="354"/>
    </row>
    <row r="4" spans="2:21">
      <c r="B4" s="347"/>
      <c r="C4" s="347"/>
      <c r="D4" s="347" t="s">
        <v>208</v>
      </c>
      <c r="E4" s="347" t="s">
        <v>209</v>
      </c>
      <c r="F4" s="355"/>
      <c r="G4" s="355"/>
      <c r="H4" s="355"/>
      <c r="I4" s="354"/>
      <c r="J4" s="354"/>
      <c r="K4" s="354"/>
      <c r="L4" s="354"/>
      <c r="M4" s="354"/>
      <c r="N4" s="354"/>
      <c r="O4" s="354"/>
      <c r="P4" s="354"/>
      <c r="Q4" s="354"/>
      <c r="R4" s="354"/>
      <c r="S4" s="354"/>
      <c r="T4" s="354"/>
      <c r="U4" s="356"/>
    </row>
    <row r="5" spans="2:21">
      <c r="B5" s="347"/>
      <c r="C5" s="347"/>
      <c r="D5" s="19" t="s">
        <v>210</v>
      </c>
      <c r="E5" s="347" t="s">
        <v>211</v>
      </c>
      <c r="F5" s="355"/>
      <c r="G5" s="355"/>
      <c r="H5" s="355"/>
      <c r="I5" s="355"/>
      <c r="J5" s="355"/>
      <c r="K5" s="354"/>
      <c r="L5" s="354"/>
      <c r="M5" s="354"/>
      <c r="N5" s="354"/>
      <c r="O5" s="354"/>
      <c r="P5" s="354"/>
      <c r="Q5" s="354"/>
      <c r="R5" s="354"/>
      <c r="S5" s="354"/>
      <c r="T5" s="354"/>
      <c r="U5" s="354"/>
    </row>
    <row r="6" spans="2:21">
      <c r="B6" s="347"/>
      <c r="C6" s="347"/>
      <c r="D6" s="347" t="s">
        <v>212</v>
      </c>
      <c r="E6" s="347" t="s">
        <v>213</v>
      </c>
      <c r="F6" s="355"/>
      <c r="G6" s="355"/>
      <c r="H6" s="355"/>
      <c r="I6" s="355"/>
      <c r="J6" s="355"/>
      <c r="K6" s="355"/>
      <c r="L6" s="355"/>
      <c r="M6" s="355"/>
      <c r="N6" s="355"/>
      <c r="O6" s="355"/>
      <c r="P6" s="354"/>
      <c r="Q6" s="354"/>
      <c r="R6" s="354"/>
      <c r="S6" s="354"/>
      <c r="T6" s="354"/>
      <c r="U6" s="354"/>
    </row>
    <row r="7" spans="2:21">
      <c r="B7" s="347"/>
      <c r="C7" s="347"/>
      <c r="D7" s="354"/>
      <c r="E7" s="354"/>
      <c r="F7" s="354"/>
      <c r="G7" s="354"/>
      <c r="H7" s="354"/>
      <c r="I7" s="354"/>
      <c r="J7" s="354"/>
      <c r="K7" s="354"/>
      <c r="L7" s="354"/>
      <c r="M7" s="354"/>
      <c r="N7" s="354"/>
      <c r="O7" s="354"/>
      <c r="P7" s="354"/>
      <c r="R7" s="354"/>
    </row>
    <row r="8" spans="2:21">
      <c r="B8" s="347"/>
      <c r="C8" s="347"/>
      <c r="D8" s="88" t="s">
        <v>214</v>
      </c>
      <c r="E8" s="87" t="s">
        <v>215</v>
      </c>
      <c r="F8" s="87" t="s">
        <v>216</v>
      </c>
      <c r="G8" s="87" t="s">
        <v>217</v>
      </c>
      <c r="H8" s="87" t="s">
        <v>218</v>
      </c>
      <c r="I8" s="87" t="s">
        <v>219</v>
      </c>
      <c r="J8" s="87" t="s">
        <v>220</v>
      </c>
      <c r="K8" s="87" t="s">
        <v>221</v>
      </c>
      <c r="L8" s="357" t="s">
        <v>222</v>
      </c>
    </row>
    <row r="9" spans="2:21">
      <c r="B9" s="347"/>
      <c r="C9" s="347"/>
      <c r="D9" s="358" t="s">
        <v>223</v>
      </c>
      <c r="E9" s="359" t="s">
        <v>224</v>
      </c>
      <c r="F9" s="359" t="s">
        <v>225</v>
      </c>
      <c r="G9" s="360" t="s">
        <v>226</v>
      </c>
      <c r="H9" s="61" t="s">
        <v>208</v>
      </c>
      <c r="I9" s="61" t="s">
        <v>227</v>
      </c>
      <c r="J9" s="61" t="s">
        <v>228</v>
      </c>
      <c r="K9" s="61" t="s">
        <v>229</v>
      </c>
      <c r="L9" s="361" t="s">
        <v>230</v>
      </c>
    </row>
    <row r="10" spans="2:21">
      <c r="B10" s="347"/>
      <c r="C10" s="347"/>
      <c r="D10" s="358" t="s">
        <v>231</v>
      </c>
      <c r="E10" s="359" t="s">
        <v>232</v>
      </c>
      <c r="F10" s="359" t="s">
        <v>225</v>
      </c>
      <c r="G10" s="359" t="s">
        <v>233</v>
      </c>
      <c r="H10" s="61" t="s">
        <v>208</v>
      </c>
      <c r="I10" s="61" t="s">
        <v>227</v>
      </c>
      <c r="J10" s="61" t="s">
        <v>228</v>
      </c>
      <c r="K10" s="61" t="s">
        <v>234</v>
      </c>
      <c r="L10" s="361"/>
    </row>
    <row r="11" spans="2:21">
      <c r="B11" s="347"/>
      <c r="C11" s="347"/>
      <c r="D11" s="358" t="s">
        <v>235</v>
      </c>
      <c r="E11" s="359" t="s">
        <v>236</v>
      </c>
      <c r="F11" s="359" t="s">
        <v>237</v>
      </c>
      <c r="G11" s="359" t="s">
        <v>238</v>
      </c>
      <c r="H11" s="362" t="s">
        <v>210</v>
      </c>
      <c r="I11" s="362" t="s">
        <v>239</v>
      </c>
      <c r="J11" s="362" t="s">
        <v>240</v>
      </c>
      <c r="K11" s="362" t="s">
        <v>241</v>
      </c>
      <c r="L11" s="361" t="s">
        <v>242</v>
      </c>
    </row>
    <row r="12" spans="2:21">
      <c r="B12" s="347"/>
      <c r="C12" s="347"/>
      <c r="D12" s="358" t="s">
        <v>243</v>
      </c>
      <c r="E12" s="359" t="s">
        <v>244</v>
      </c>
      <c r="F12" s="359" t="s">
        <v>225</v>
      </c>
      <c r="G12" s="359" t="s">
        <v>245</v>
      </c>
      <c r="H12" s="362" t="s">
        <v>212</v>
      </c>
      <c r="I12" s="362" t="s">
        <v>246</v>
      </c>
      <c r="J12" s="362" t="s">
        <v>237</v>
      </c>
      <c r="K12" s="362" t="s">
        <v>237</v>
      </c>
      <c r="L12" s="363" t="s">
        <v>247</v>
      </c>
    </row>
    <row r="13" ht="132" spans="2:21">
      <c r="B13" s="347"/>
      <c r="C13" s="347"/>
      <c r="D13" s="358" t="s">
        <v>248</v>
      </c>
      <c r="E13" s="364" t="s">
        <v>249</v>
      </c>
      <c r="F13" s="365" t="s">
        <v>225</v>
      </c>
      <c r="G13" s="366" t="s">
        <v>250</v>
      </c>
      <c r="H13" s="362" t="s">
        <v>208</v>
      </c>
      <c r="I13" s="362" t="s">
        <v>227</v>
      </c>
      <c r="J13" s="362" t="s">
        <v>228</v>
      </c>
      <c r="K13" s="362" t="s">
        <v>251</v>
      </c>
      <c r="L13" s="363" t="s">
        <v>252</v>
      </c>
    </row>
    <row r="14" ht="82.5" spans="2:21">
      <c r="B14" s="347"/>
      <c r="C14" s="347"/>
      <c r="D14" s="358" t="s">
        <v>253</v>
      </c>
      <c r="E14" s="364" t="s">
        <v>254</v>
      </c>
      <c r="F14" s="365" t="s">
        <v>225</v>
      </c>
      <c r="G14" s="366" t="s">
        <v>255</v>
      </c>
      <c r="H14" s="362" t="s">
        <v>208</v>
      </c>
      <c r="I14" s="362" t="s">
        <v>227</v>
      </c>
      <c r="J14" s="362" t="s">
        <v>256</v>
      </c>
      <c r="K14" s="362" t="s">
        <v>257</v>
      </c>
      <c r="L14" s="363" t="s">
        <v>258</v>
      </c>
    </row>
    <row r="15" spans="2:21">
      <c r="B15" s="347"/>
      <c r="C15" s="347"/>
      <c r="D15" s="358" t="s">
        <v>259</v>
      </c>
      <c r="E15" s="364" t="s">
        <v>260</v>
      </c>
      <c r="F15" s="365" t="s">
        <v>225</v>
      </c>
      <c r="G15" s="360" t="s">
        <v>261</v>
      </c>
      <c r="H15" s="362" t="s">
        <v>210</v>
      </c>
      <c r="I15" s="362" t="s">
        <v>262</v>
      </c>
      <c r="J15" s="362" t="s">
        <v>256</v>
      </c>
      <c r="K15" s="362" t="s">
        <v>263</v>
      </c>
      <c r="L15" s="363" t="s">
        <v>264</v>
      </c>
    </row>
    <row r="16" spans="2:21">
      <c r="B16" s="347"/>
      <c r="C16" s="347"/>
      <c r="D16" s="358" t="s">
        <v>265</v>
      </c>
      <c r="E16" s="364" t="s">
        <v>266</v>
      </c>
      <c r="F16" s="365" t="s">
        <v>225</v>
      </c>
      <c r="G16" s="360" t="s">
        <v>267</v>
      </c>
      <c r="H16" s="362" t="s">
        <v>212</v>
      </c>
      <c r="I16" s="362" t="s">
        <v>239</v>
      </c>
      <c r="J16" s="362" t="s">
        <v>237</v>
      </c>
      <c r="K16" s="362" t="s">
        <v>268</v>
      </c>
      <c r="L16" s="363" t="s">
        <v>247</v>
      </c>
    </row>
    <row r="17" spans="2:12">
      <c r="B17" s="347"/>
      <c r="C17" s="347"/>
      <c r="D17" s="358" t="s">
        <v>269</v>
      </c>
      <c r="E17" s="364" t="s">
        <v>270</v>
      </c>
      <c r="F17" s="365" t="s">
        <v>225</v>
      </c>
      <c r="G17" s="360" t="s">
        <v>271</v>
      </c>
      <c r="H17" s="362" t="s">
        <v>212</v>
      </c>
      <c r="I17" s="362" t="s">
        <v>246</v>
      </c>
      <c r="J17" s="362" t="s">
        <v>237</v>
      </c>
      <c r="K17" s="362" t="s">
        <v>229</v>
      </c>
      <c r="L17" s="363" t="s">
        <v>247</v>
      </c>
    </row>
    <row r="19" spans="2:12">
      <c r="B19" s="345"/>
      <c r="C19" s="346" t="s">
        <v>272</v>
      </c>
      <c r="D19" s="355"/>
    </row>
    <row r="20" spans="2:12">
      <c r="D20" s="88" t="s">
        <v>10</v>
      </c>
      <c r="E20" s="367" t="s">
        <v>273</v>
      </c>
      <c r="F20" s="367"/>
    </row>
    <row r="21" spans="2:12">
      <c r="D21" s="347" t="s">
        <v>274</v>
      </c>
      <c r="E21" s="347" t="s">
        <v>275</v>
      </c>
    </row>
    <row r="22" spans="2:12">
      <c r="D22" s="347" t="s">
        <v>276</v>
      </c>
      <c r="E22" s="346" t="s">
        <v>277</v>
      </c>
    </row>
    <row r="23" spans="2:12">
      <c r="D23" s="347" t="s">
        <v>278</v>
      </c>
    </row>
    <row r="24" spans="2:12">
      <c r="D24" s="347"/>
      <c r="E24" s="80" t="s">
        <v>279</v>
      </c>
    </row>
    <row r="25" spans="2:12">
      <c r="D25" s="347"/>
      <c r="E25" s="80" t="s">
        <v>280</v>
      </c>
    </row>
    <row r="26" spans="2:12">
      <c r="D26" s="347"/>
      <c r="E26" s="80" t="s">
        <v>281</v>
      </c>
    </row>
    <row r="27" spans="2:12">
      <c r="E27" s="80" t="s">
        <v>282</v>
      </c>
    </row>
    <row r="28" spans="2:12">
      <c r="D28" s="80" t="s">
        <v>283</v>
      </c>
      <c r="E28" s="347"/>
    </row>
    <row r="29" spans="2:12">
      <c r="D29" s="347"/>
      <c r="E29" s="80" t="s">
        <v>284</v>
      </c>
    </row>
    <row r="30" spans="2:12">
      <c r="D30" s="80"/>
      <c r="E30" s="80" t="s">
        <v>285</v>
      </c>
      <c r="F30" s="80"/>
    </row>
    <row r="31" spans="2:12">
      <c r="D31" s="80"/>
      <c r="E31" s="80" t="s">
        <v>286</v>
      </c>
    </row>
    <row r="32" spans="2:12">
      <c r="F32" s="80"/>
    </row>
    <row r="34" spans="5:6">
      <c r="E34" s="80"/>
      <c r="F34" s="80"/>
    </row>
    <row r="60" spans="2:28">
      <c r="B60" s="368"/>
      <c r="C60" s="368"/>
      <c r="D60" s="80"/>
    </row>
    <row r="61" spans="2:28">
      <c r="B61" s="368"/>
      <c r="C61" s="368"/>
      <c r="D61" s="80"/>
      <c r="G61" s="369" t="s">
        <v>287</v>
      </c>
      <c r="K61" s="19">
        <v>2</v>
      </c>
      <c r="L61" s="369" t="s">
        <v>260</v>
      </c>
      <c r="N61" s="19" t="s">
        <v>288</v>
      </c>
      <c r="R61" s="207" t="s">
        <v>289</v>
      </c>
      <c r="S61" s="369" t="s">
        <v>249</v>
      </c>
      <c r="U61" s="19" t="s">
        <v>290</v>
      </c>
      <c r="V61" s="369" t="s">
        <v>291</v>
      </c>
      <c r="W61" s="19" t="s">
        <v>292</v>
      </c>
    </row>
    <row r="62" spans="2:28">
      <c r="B62" s="368"/>
      <c r="C62" s="368"/>
      <c r="E62" s="369" t="s">
        <v>293</v>
      </c>
      <c r="G62" s="370" t="s">
        <v>294</v>
      </c>
      <c r="H62" s="370"/>
      <c r="I62" s="370"/>
      <c r="J62" s="370"/>
      <c r="K62" s="370"/>
      <c r="L62" s="370"/>
      <c r="M62" s="370"/>
      <c r="N62" s="370"/>
      <c r="O62" s="370"/>
      <c r="P62" s="370"/>
      <c r="Q62" s="370"/>
      <c r="R62" s="235" t="s">
        <v>295</v>
      </c>
      <c r="S62" s="235"/>
      <c r="T62" s="235"/>
      <c r="U62" s="235"/>
      <c r="V62" s="235"/>
      <c r="W62" s="235"/>
      <c r="X62" s="235"/>
    </row>
    <row r="63" spans="2:28">
      <c r="B63" s="368"/>
      <c r="C63" s="368"/>
      <c r="D63" s="371" t="s">
        <v>296</v>
      </c>
      <c r="E63" s="371" t="s">
        <v>297</v>
      </c>
      <c r="F63" s="371" t="s">
        <v>298</v>
      </c>
      <c r="G63" s="372" t="s">
        <v>299</v>
      </c>
      <c r="H63" s="372" t="s">
        <v>300</v>
      </c>
      <c r="I63" s="372" t="s">
        <v>301</v>
      </c>
      <c r="J63" s="372" t="s">
        <v>302</v>
      </c>
      <c r="K63" s="372" t="s">
        <v>303</v>
      </c>
      <c r="L63" s="372" t="s">
        <v>304</v>
      </c>
      <c r="M63" s="372" t="s">
        <v>305</v>
      </c>
      <c r="N63" s="372" t="s">
        <v>306</v>
      </c>
      <c r="O63" s="372" t="s">
        <v>307</v>
      </c>
      <c r="P63" s="372" t="s">
        <v>308</v>
      </c>
      <c r="Q63" s="19" t="s">
        <v>309</v>
      </c>
      <c r="R63" s="372" t="s">
        <v>310</v>
      </c>
      <c r="S63" s="372" t="s">
        <v>311</v>
      </c>
      <c r="T63" s="372" t="s">
        <v>312</v>
      </c>
      <c r="U63" s="372" t="s">
        <v>313</v>
      </c>
      <c r="V63" s="372" t="s">
        <v>314</v>
      </c>
      <c r="W63" s="372" t="s">
        <v>315</v>
      </c>
      <c r="X63" s="25" t="s">
        <v>316</v>
      </c>
      <c r="AA63" s="373" t="s">
        <v>317</v>
      </c>
      <c r="AB63" s="373" t="s">
        <v>318</v>
      </c>
    </row>
    <row r="64" spans="2:28">
      <c r="B64" s="368"/>
      <c r="C64" s="368"/>
      <c r="D64" s="25">
        <v>1</v>
      </c>
      <c r="E64" s="374">
        <v>10</v>
      </c>
      <c r="F64" s="26">
        <v>10</v>
      </c>
      <c r="G64" s="25"/>
      <c r="H64" s="375">
        <v>10</v>
      </c>
      <c r="I64" s="375">
        <v>5</v>
      </c>
      <c r="J64" s="375">
        <v>0</v>
      </c>
      <c r="K64" s="375">
        <v>0</v>
      </c>
      <c r="L64" s="25">
        <v>12</v>
      </c>
      <c r="M64" s="25" t="s">
        <v>319</v>
      </c>
      <c r="N64" s="35">
        <v>1</v>
      </c>
      <c r="O64" s="35">
        <v>1.38</v>
      </c>
      <c r="P64" s="307"/>
      <c r="Q64" s="307">
        <v>1.3</v>
      </c>
      <c r="R64" s="376">
        <v>12</v>
      </c>
      <c r="S64" s="224">
        <f>R64</f>
        <v>12</v>
      </c>
      <c r="T64" s="25">
        <v>10</v>
      </c>
      <c r="U64" s="376">
        <f>X64</f>
        <v>10</v>
      </c>
      <c r="V64" s="25" t="s">
        <v>320</v>
      </c>
      <c r="W64" s="25">
        <v>16</v>
      </c>
      <c r="X64" s="25">
        <v>10</v>
      </c>
      <c r="Y64" s="226"/>
      <c r="Z64" s="19">
        <f>30*4</f>
        <v>120</v>
      </c>
      <c r="AA64" s="25" t="s">
        <v>321</v>
      </c>
      <c r="AB64" s="35">
        <v>0.1</v>
      </c>
    </row>
    <row r="65" spans="2:28">
      <c r="B65" s="368"/>
      <c r="C65" s="368"/>
      <c r="D65" s="25">
        <v>2</v>
      </c>
      <c r="E65" s="374">
        <f>E64+F65*(D65-D64)</f>
        <v>15</v>
      </c>
      <c r="F65" s="26">
        <v>5</v>
      </c>
      <c r="G65" s="25" t="s">
        <v>322</v>
      </c>
      <c r="H65" s="375">
        <v>12</v>
      </c>
      <c r="I65" s="375">
        <v>6.67</v>
      </c>
      <c r="J65" s="375">
        <v>0</v>
      </c>
      <c r="K65" s="375">
        <v>0</v>
      </c>
      <c r="L65" s="25">
        <v>18</v>
      </c>
      <c r="M65" s="307"/>
      <c r="N65" s="35">
        <f>N64+7%</f>
        <v>1.07</v>
      </c>
      <c r="O65" s="35">
        <v>1.476025</v>
      </c>
      <c r="P65" s="307"/>
      <c r="Q65" s="307">
        <v>1.3</v>
      </c>
      <c r="R65" s="376">
        <v>6</v>
      </c>
      <c r="S65" s="25">
        <f>INT(R65*(D65-D64)+S64)</f>
        <v>18</v>
      </c>
      <c r="T65" s="25">
        <f t="shared" ref="T65:T79" si="0">INT(S65/10)*10+10</f>
        <v>20</v>
      </c>
      <c r="U65" s="376">
        <f t="shared" ref="U65:U96" si="1">U64+X65*(D65-D64)</f>
        <v>16</v>
      </c>
      <c r="V65" s="25" t="s">
        <v>323</v>
      </c>
      <c r="W65" s="25">
        <v>21</v>
      </c>
      <c r="X65" s="25">
        <v>6</v>
      </c>
      <c r="Y65" s="226"/>
      <c r="AA65" s="25" t="s">
        <v>324</v>
      </c>
      <c r="AB65" s="35">
        <v>0.15</v>
      </c>
    </row>
    <row r="66" spans="2:28">
      <c r="D66" s="25">
        <v>3</v>
      </c>
      <c r="E66" s="374">
        <f t="shared" ref="E65:E96" si="2">E65+F66*(D66-D65)</f>
        <v>20</v>
      </c>
      <c r="F66" s="26">
        <v>5</v>
      </c>
      <c r="G66" s="25" t="s">
        <v>325</v>
      </c>
      <c r="H66" s="375">
        <v>14</v>
      </c>
      <c r="I66" s="375">
        <v>8.34</v>
      </c>
      <c r="J66" s="375">
        <v>5</v>
      </c>
      <c r="K66" s="375">
        <v>0</v>
      </c>
      <c r="L66" s="25">
        <v>22</v>
      </c>
      <c r="M66" s="25" t="s">
        <v>320</v>
      </c>
      <c r="N66" s="35">
        <f>N65+7%</f>
        <v>1.14</v>
      </c>
      <c r="O66" s="35">
        <v>1.674</v>
      </c>
      <c r="P66" s="307"/>
      <c r="Q66" s="307">
        <f ca="1" t="shared" ref="Q66:Q96" si="3">MAX(J107/N66/O66,Q65)</f>
        <v>1.3</v>
      </c>
      <c r="R66" s="376">
        <v>4</v>
      </c>
      <c r="S66" s="224">
        <f t="shared" ref="S66:S94" si="4">R66*(D66-D65)+S65</f>
        <v>22</v>
      </c>
      <c r="T66" s="25">
        <f t="shared" si="0"/>
        <v>30</v>
      </c>
      <c r="U66" s="376">
        <f t="shared" si="1"/>
        <v>20</v>
      </c>
      <c r="V66" s="25" t="s">
        <v>326</v>
      </c>
      <c r="W66" s="25">
        <v>26</v>
      </c>
      <c r="X66" s="25">
        <v>4</v>
      </c>
      <c r="Y66" s="226"/>
      <c r="AA66" s="25" t="s">
        <v>327</v>
      </c>
      <c r="AB66" s="35">
        <v>0.2</v>
      </c>
    </row>
    <row r="67" spans="2:28">
      <c r="D67" s="25">
        <v>4</v>
      </c>
      <c r="E67" s="26">
        <f t="shared" si="2"/>
        <v>24</v>
      </c>
      <c r="F67" s="26">
        <v>4</v>
      </c>
      <c r="G67" s="25" t="s">
        <v>328</v>
      </c>
      <c r="H67" s="375">
        <v>16</v>
      </c>
      <c r="I67" s="375">
        <v>10.01</v>
      </c>
      <c r="J67" s="375">
        <v>5.5</v>
      </c>
      <c r="K67" s="375">
        <v>0</v>
      </c>
      <c r="L67" s="25">
        <v>24</v>
      </c>
      <c r="M67" s="307">
        <f ca="1">AVERAGE(P71:P76)</f>
        <v>0.0191729627843174</v>
      </c>
      <c r="N67" s="35">
        <f>N66+7%</f>
        <v>1.21</v>
      </c>
      <c r="O67" s="35">
        <v>1.734798</v>
      </c>
      <c r="P67" s="307">
        <f ca="1" t="shared" ref="P67:P96" si="5">((J108/N67/O67)^(1/L67*6)-1)/5</f>
        <v>0.0141482268697599</v>
      </c>
      <c r="Q67" s="307">
        <f ca="1" t="shared" si="3"/>
        <v>1.31443147075175</v>
      </c>
      <c r="R67" s="376">
        <v>3</v>
      </c>
      <c r="S67" s="25">
        <f t="shared" si="4"/>
        <v>25</v>
      </c>
      <c r="T67" s="25">
        <f t="shared" si="0"/>
        <v>30</v>
      </c>
      <c r="U67" s="376">
        <f t="shared" si="1"/>
        <v>24</v>
      </c>
      <c r="V67" s="25" t="s">
        <v>326</v>
      </c>
      <c r="W67" s="25">
        <v>30</v>
      </c>
      <c r="X67" s="25">
        <v>4</v>
      </c>
      <c r="Y67" s="226"/>
      <c r="Z67" s="19">
        <v>0.48</v>
      </c>
      <c r="AA67" s="25" t="s">
        <v>329</v>
      </c>
      <c r="AB67" s="35">
        <v>0.25</v>
      </c>
    </row>
    <row r="68" spans="2:28">
      <c r="D68" s="25">
        <v>5</v>
      </c>
      <c r="E68" s="374">
        <f t="shared" si="2"/>
        <v>27</v>
      </c>
      <c r="F68" s="26">
        <v>3</v>
      </c>
      <c r="G68" s="25" t="s">
        <v>330</v>
      </c>
      <c r="H68" s="375">
        <v>17</v>
      </c>
      <c r="I68" s="375">
        <v>10.71</v>
      </c>
      <c r="J68" s="375">
        <v>6</v>
      </c>
      <c r="K68" s="375">
        <v>0</v>
      </c>
      <c r="L68" s="25">
        <v>26</v>
      </c>
      <c r="M68" s="25"/>
      <c r="N68" s="35">
        <f>N67+7%</f>
        <v>1.28</v>
      </c>
      <c r="O68" s="35">
        <v>1.776658</v>
      </c>
      <c r="P68" s="307">
        <f ca="1" t="shared" si="5"/>
        <v>0.0143903799505953</v>
      </c>
      <c r="Q68" s="307">
        <f ca="1" t="shared" si="3"/>
        <v>1.35132442268228</v>
      </c>
      <c r="R68" s="376">
        <v>3</v>
      </c>
      <c r="S68" s="25">
        <f t="shared" si="4"/>
        <v>28</v>
      </c>
      <c r="T68" s="25">
        <f t="shared" si="0"/>
        <v>30</v>
      </c>
      <c r="U68" s="376">
        <f t="shared" si="1"/>
        <v>27</v>
      </c>
      <c r="V68" s="25" t="s">
        <v>326</v>
      </c>
      <c r="W68" s="25">
        <v>34</v>
      </c>
      <c r="X68" s="25">
        <v>3</v>
      </c>
      <c r="Y68" s="226"/>
      <c r="Z68" s="19">
        <f>0.36</f>
        <v>0.36</v>
      </c>
    </row>
    <row r="69" spans="2:28">
      <c r="D69" s="25">
        <v>6</v>
      </c>
      <c r="E69" s="26">
        <f t="shared" si="2"/>
        <v>30</v>
      </c>
      <c r="F69" s="26">
        <v>3</v>
      </c>
      <c r="G69" s="25" t="s">
        <v>331</v>
      </c>
      <c r="H69" s="375">
        <v>18</v>
      </c>
      <c r="I69" s="375">
        <v>11.41</v>
      </c>
      <c r="J69" s="375">
        <v>6.5</v>
      </c>
      <c r="K69" s="375">
        <v>0</v>
      </c>
      <c r="L69" s="25">
        <v>28</v>
      </c>
      <c r="M69" s="25"/>
      <c r="N69" s="35">
        <f>N68+7%</f>
        <v>1.35</v>
      </c>
      <c r="O69" s="35">
        <v>1.818518</v>
      </c>
      <c r="P69" s="307">
        <f ca="1" t="shared" si="5"/>
        <v>0.0141089485364912</v>
      </c>
      <c r="Q69" s="307">
        <f ca="1" t="shared" si="3"/>
        <v>1.37453512048687</v>
      </c>
      <c r="R69" s="376">
        <v>2</v>
      </c>
      <c r="S69" s="25">
        <f t="shared" si="4"/>
        <v>30</v>
      </c>
      <c r="T69" s="25">
        <f t="shared" si="0"/>
        <v>40</v>
      </c>
      <c r="U69" s="376">
        <f t="shared" si="1"/>
        <v>30</v>
      </c>
      <c r="V69" s="25" t="s">
        <v>326</v>
      </c>
      <c r="W69" s="25">
        <v>37</v>
      </c>
      <c r="X69" s="25">
        <v>3</v>
      </c>
      <c r="Y69" s="226"/>
      <c r="Z69" s="19">
        <f>0.75</f>
        <v>0.75</v>
      </c>
    </row>
    <row r="70" spans="2:28">
      <c r="D70" s="25">
        <v>7</v>
      </c>
      <c r="E70" s="26">
        <f t="shared" si="2"/>
        <v>33</v>
      </c>
      <c r="F70" s="26">
        <v>3</v>
      </c>
      <c r="G70" s="25" t="s">
        <v>332</v>
      </c>
      <c r="H70" s="375">
        <v>19</v>
      </c>
      <c r="I70" s="375">
        <v>12.11</v>
      </c>
      <c r="J70" s="375">
        <v>7</v>
      </c>
      <c r="K70" s="375">
        <v>0</v>
      </c>
      <c r="L70" s="25">
        <v>30</v>
      </c>
      <c r="M70" s="25"/>
      <c r="N70" s="35">
        <f t="shared" ref="N70:N76" si="6">N69+5%</f>
        <v>1.4</v>
      </c>
      <c r="O70" s="35">
        <v>1.860378</v>
      </c>
      <c r="P70" s="307">
        <f ca="1" t="shared" si="5"/>
        <v>0.0164445552401573</v>
      </c>
      <c r="Q70" s="307">
        <f ca="1" t="shared" si="3"/>
        <v>1.4845107564558</v>
      </c>
      <c r="R70" s="376">
        <v>2</v>
      </c>
      <c r="S70" s="224">
        <f t="shared" si="4"/>
        <v>32</v>
      </c>
      <c r="T70" s="25">
        <f t="shared" si="0"/>
        <v>40</v>
      </c>
      <c r="U70" s="377">
        <f t="shared" si="1"/>
        <v>32</v>
      </c>
      <c r="V70" s="25" t="s">
        <v>326</v>
      </c>
      <c r="W70" s="25">
        <v>40</v>
      </c>
      <c r="X70" s="25">
        <v>2</v>
      </c>
      <c r="Y70" s="226"/>
      <c r="Z70" s="19">
        <f>0.9</f>
        <v>0.9</v>
      </c>
    </row>
    <row r="71" spans="2:28">
      <c r="D71" s="25">
        <v>8</v>
      </c>
      <c r="E71" s="26">
        <f t="shared" si="2"/>
        <v>35</v>
      </c>
      <c r="F71" s="26">
        <v>2</v>
      </c>
      <c r="G71" s="378" t="s">
        <v>333</v>
      </c>
      <c r="H71" s="375">
        <v>20</v>
      </c>
      <c r="I71" s="375">
        <v>12.81</v>
      </c>
      <c r="J71" s="375">
        <v>7.5</v>
      </c>
      <c r="K71" s="375">
        <v>0</v>
      </c>
      <c r="L71" s="25">
        <v>30</v>
      </c>
      <c r="M71" s="25"/>
      <c r="N71" s="35">
        <f t="shared" si="6"/>
        <v>1.45</v>
      </c>
      <c r="O71" s="35">
        <v>1.902238</v>
      </c>
      <c r="P71" s="307">
        <f ca="1" t="shared" si="5"/>
        <v>0.0171058165332465</v>
      </c>
      <c r="Q71" s="307">
        <f ca="1" t="shared" si="3"/>
        <v>1.5073264364997</v>
      </c>
      <c r="R71" s="376">
        <v>2</v>
      </c>
      <c r="S71" s="25">
        <f t="shared" si="4"/>
        <v>34</v>
      </c>
      <c r="T71" s="25">
        <f t="shared" si="0"/>
        <v>40</v>
      </c>
      <c r="U71" s="376">
        <f t="shared" si="1"/>
        <v>34</v>
      </c>
      <c r="V71" s="25" t="s">
        <v>334</v>
      </c>
      <c r="W71" s="25">
        <v>43</v>
      </c>
      <c r="X71" s="25">
        <v>2</v>
      </c>
      <c r="Y71" s="226"/>
    </row>
    <row r="72" spans="2:28">
      <c r="D72" s="25">
        <v>9</v>
      </c>
      <c r="E72" s="374">
        <f t="shared" si="2"/>
        <v>37</v>
      </c>
      <c r="F72" s="26">
        <v>2</v>
      </c>
      <c r="G72" s="25"/>
      <c r="H72" s="375">
        <v>20.5</v>
      </c>
      <c r="I72" s="375">
        <v>13.51</v>
      </c>
      <c r="J72" s="375">
        <v>8</v>
      </c>
      <c r="K72" s="375">
        <v>0</v>
      </c>
      <c r="L72" s="25">
        <v>30</v>
      </c>
      <c r="M72" s="25"/>
      <c r="N72" s="35">
        <f t="shared" si="6"/>
        <v>1.5</v>
      </c>
      <c r="O72" s="35">
        <v>1.944098</v>
      </c>
      <c r="P72" s="307">
        <f ca="1" t="shared" si="5"/>
        <v>0.0180055865767991</v>
      </c>
      <c r="Q72" s="307">
        <f ca="1" t="shared" si="3"/>
        <v>1.53882111273148</v>
      </c>
      <c r="R72" s="376">
        <v>2</v>
      </c>
      <c r="S72" s="25">
        <f t="shared" si="4"/>
        <v>36</v>
      </c>
      <c r="T72" s="25">
        <f t="shared" si="0"/>
        <v>40</v>
      </c>
      <c r="U72" s="376">
        <f t="shared" si="1"/>
        <v>36</v>
      </c>
      <c r="V72" s="25" t="s">
        <v>334</v>
      </c>
      <c r="W72" s="25">
        <v>46</v>
      </c>
      <c r="X72" s="25">
        <v>2</v>
      </c>
      <c r="Y72" s="226"/>
    </row>
    <row r="73" spans="2:28">
      <c r="D73" s="25">
        <v>10</v>
      </c>
      <c r="E73" s="26">
        <f t="shared" si="2"/>
        <v>39</v>
      </c>
      <c r="F73" s="26">
        <v>2</v>
      </c>
      <c r="G73" s="378" t="s">
        <v>335</v>
      </c>
      <c r="H73" s="375">
        <v>21</v>
      </c>
      <c r="I73" s="375">
        <v>14.21</v>
      </c>
      <c r="J73" s="375">
        <v>8.5</v>
      </c>
      <c r="K73" s="375">
        <v>0</v>
      </c>
      <c r="L73" s="25">
        <v>30</v>
      </c>
      <c r="M73" s="25"/>
      <c r="N73" s="35">
        <f t="shared" si="6"/>
        <v>1.55</v>
      </c>
      <c r="O73" s="35">
        <v>1.985958</v>
      </c>
      <c r="P73" s="307">
        <f ca="1" t="shared" si="5"/>
        <v>0.0191226324825222</v>
      </c>
      <c r="Q73" s="307">
        <f ca="1" t="shared" si="3"/>
        <v>1.57865127819175</v>
      </c>
      <c r="R73" s="376">
        <v>2</v>
      </c>
      <c r="S73" s="25">
        <f t="shared" si="4"/>
        <v>38</v>
      </c>
      <c r="T73" s="25">
        <f t="shared" si="0"/>
        <v>40</v>
      </c>
      <c r="U73" s="376">
        <f t="shared" si="1"/>
        <v>38</v>
      </c>
      <c r="V73" s="25" t="s">
        <v>334</v>
      </c>
      <c r="W73" s="25">
        <v>48</v>
      </c>
      <c r="X73" s="25">
        <v>2</v>
      </c>
      <c r="Y73" s="226"/>
    </row>
    <row r="74" spans="2:28">
      <c r="D74" s="25">
        <v>11</v>
      </c>
      <c r="E74" s="26">
        <f t="shared" si="2"/>
        <v>41</v>
      </c>
      <c r="F74" s="26">
        <v>2</v>
      </c>
      <c r="G74" s="25"/>
      <c r="H74" s="375">
        <v>21.5</v>
      </c>
      <c r="I74" s="375">
        <v>14.91</v>
      </c>
      <c r="J74" s="375">
        <v>9</v>
      </c>
      <c r="K74" s="375">
        <v>0</v>
      </c>
      <c r="L74" s="25">
        <v>30</v>
      </c>
      <c r="M74" s="25"/>
      <c r="N74" s="35">
        <f t="shared" si="6"/>
        <v>1.6</v>
      </c>
      <c r="O74" s="35">
        <v>2.027818</v>
      </c>
      <c r="P74" s="307">
        <f ca="1" t="shared" si="5"/>
        <v>0.0204414391318562</v>
      </c>
      <c r="Q74" s="307">
        <f ca="1" t="shared" si="3"/>
        <v>1.62673274855926</v>
      </c>
      <c r="R74" s="376">
        <v>2</v>
      </c>
      <c r="S74" s="25">
        <f t="shared" si="4"/>
        <v>40</v>
      </c>
      <c r="T74" s="25">
        <f t="shared" si="0"/>
        <v>50</v>
      </c>
      <c r="U74" s="376">
        <f t="shared" si="1"/>
        <v>40</v>
      </c>
      <c r="V74" s="25" t="s">
        <v>334</v>
      </c>
      <c r="W74" s="25">
        <v>50</v>
      </c>
      <c r="X74" s="25">
        <v>2</v>
      </c>
      <c r="Y74" s="226"/>
    </row>
    <row r="75" spans="2:28">
      <c r="D75" s="25">
        <v>12</v>
      </c>
      <c r="E75" s="26">
        <f t="shared" si="2"/>
        <v>43</v>
      </c>
      <c r="F75" s="26">
        <v>2</v>
      </c>
      <c r="G75" s="378" t="s">
        <v>336</v>
      </c>
      <c r="H75" s="375">
        <v>22</v>
      </c>
      <c r="I75" s="375">
        <v>15.61</v>
      </c>
      <c r="J75" s="375">
        <v>9.5</v>
      </c>
      <c r="K75" s="375">
        <v>0</v>
      </c>
      <c r="L75" s="25">
        <v>30</v>
      </c>
      <c r="M75" s="25"/>
      <c r="N75" s="35">
        <f t="shared" si="6"/>
        <v>1.65</v>
      </c>
      <c r="O75" s="35">
        <v>2.149281</v>
      </c>
      <c r="P75" s="307">
        <f ca="1" t="shared" si="5"/>
        <v>0.0202762114457114</v>
      </c>
      <c r="Q75" s="307">
        <f ca="1" t="shared" si="3"/>
        <v>1.62673274855926</v>
      </c>
      <c r="R75" s="376">
        <v>2</v>
      </c>
      <c r="S75" s="25">
        <f t="shared" si="4"/>
        <v>42</v>
      </c>
      <c r="T75" s="25">
        <f t="shared" si="0"/>
        <v>50</v>
      </c>
      <c r="U75" s="376">
        <f t="shared" si="1"/>
        <v>42</v>
      </c>
      <c r="V75" s="25" t="s">
        <v>334</v>
      </c>
      <c r="W75" s="25">
        <v>52</v>
      </c>
      <c r="X75" s="25">
        <v>2</v>
      </c>
      <c r="Y75" s="226"/>
    </row>
    <row r="76" spans="2:28">
      <c r="D76" s="25">
        <v>13</v>
      </c>
      <c r="E76" s="26">
        <f t="shared" si="2"/>
        <v>45</v>
      </c>
      <c r="F76" s="26">
        <v>2</v>
      </c>
      <c r="G76" s="25"/>
      <c r="H76" s="375">
        <v>22.5</v>
      </c>
      <c r="I76" s="375">
        <v>15.96</v>
      </c>
      <c r="J76" s="375">
        <v>10</v>
      </c>
      <c r="K76" s="375">
        <v>0</v>
      </c>
      <c r="L76" s="25">
        <v>30</v>
      </c>
      <c r="M76" s="25"/>
      <c r="N76" s="35">
        <f t="shared" si="6"/>
        <v>1.7</v>
      </c>
      <c r="O76" s="35">
        <v>2.2869</v>
      </c>
      <c r="P76" s="307">
        <f ca="1" t="shared" si="5"/>
        <v>0.0200860905357687</v>
      </c>
      <c r="Q76" s="307">
        <f ca="1" t="shared" si="3"/>
        <v>1.62673274855926</v>
      </c>
      <c r="R76" s="376">
        <v>2</v>
      </c>
      <c r="S76" s="25">
        <f t="shared" si="4"/>
        <v>44</v>
      </c>
      <c r="T76" s="25">
        <f t="shared" si="0"/>
        <v>50</v>
      </c>
      <c r="U76" s="376">
        <f t="shared" si="1"/>
        <v>44</v>
      </c>
      <c r="V76" s="25" t="s">
        <v>334</v>
      </c>
      <c r="W76" s="25">
        <v>54</v>
      </c>
      <c r="X76" s="25">
        <v>2</v>
      </c>
      <c r="Y76" s="226"/>
    </row>
    <row r="77" spans="2:28">
      <c r="D77" s="25">
        <v>14</v>
      </c>
      <c r="E77" s="374">
        <f t="shared" si="2"/>
        <v>47</v>
      </c>
      <c r="F77" s="26">
        <v>2</v>
      </c>
      <c r="G77" s="378" t="s">
        <v>337</v>
      </c>
      <c r="H77" s="375">
        <v>23</v>
      </c>
      <c r="I77" s="375">
        <v>16.31</v>
      </c>
      <c r="J77" s="375">
        <v>10.25</v>
      </c>
      <c r="K77" s="375">
        <v>0</v>
      </c>
      <c r="L77" s="25">
        <v>30</v>
      </c>
      <c r="M77" s="25" t="s">
        <v>323</v>
      </c>
      <c r="N77" s="35">
        <v>1.73</v>
      </c>
      <c r="O77" s="35">
        <v>2.309175</v>
      </c>
      <c r="P77" s="307">
        <f ca="1" t="shared" si="5"/>
        <v>0.0228607622680993</v>
      </c>
      <c r="Q77" s="307">
        <f ca="1" t="shared" si="3"/>
        <v>1.7179799058959</v>
      </c>
      <c r="R77" s="376">
        <v>1</v>
      </c>
      <c r="S77" s="25">
        <f t="shared" si="4"/>
        <v>45</v>
      </c>
      <c r="T77" s="25">
        <f t="shared" si="0"/>
        <v>50</v>
      </c>
      <c r="U77" s="376">
        <f t="shared" si="1"/>
        <v>45</v>
      </c>
      <c r="V77" s="25" t="s">
        <v>334</v>
      </c>
      <c r="W77" s="25">
        <v>56</v>
      </c>
      <c r="X77" s="25">
        <v>1</v>
      </c>
      <c r="Y77" s="226"/>
    </row>
    <row r="78" spans="2:28">
      <c r="D78" s="25">
        <v>15</v>
      </c>
      <c r="E78" s="26">
        <f t="shared" si="2"/>
        <v>48</v>
      </c>
      <c r="F78" s="26">
        <v>1</v>
      </c>
      <c r="H78" s="375">
        <v>23.5</v>
      </c>
      <c r="I78" s="375">
        <v>16.66</v>
      </c>
      <c r="J78" s="375">
        <v>10.5</v>
      </c>
      <c r="K78" s="375">
        <v>0</v>
      </c>
      <c r="L78" s="25">
        <v>30</v>
      </c>
      <c r="M78" s="307">
        <f ca="1">AVERAGE(P78:P84)</f>
        <v>0.0354952927046372</v>
      </c>
      <c r="N78" s="35">
        <f t="shared" ref="N78:N96" si="7">N77+3%</f>
        <v>1.76</v>
      </c>
      <c r="O78" s="35">
        <v>2.33145</v>
      </c>
      <c r="P78" s="307">
        <f ca="1" t="shared" si="5"/>
        <v>0.0227415266756482</v>
      </c>
      <c r="Q78" s="307">
        <f ca="1" t="shared" si="3"/>
        <v>1.7179799058959</v>
      </c>
      <c r="R78" s="376">
        <v>1</v>
      </c>
      <c r="S78" s="25">
        <f t="shared" si="4"/>
        <v>46</v>
      </c>
      <c r="T78" s="25">
        <f t="shared" si="0"/>
        <v>50</v>
      </c>
      <c r="U78" s="376">
        <f t="shared" si="1"/>
        <v>46</v>
      </c>
      <c r="V78" s="25" t="s">
        <v>334</v>
      </c>
      <c r="W78" s="25">
        <v>57</v>
      </c>
      <c r="X78" s="25">
        <v>1</v>
      </c>
      <c r="Y78" s="226"/>
    </row>
    <row r="79" spans="2:28">
      <c r="D79" s="25">
        <v>16</v>
      </c>
      <c r="E79" s="26">
        <f t="shared" si="2"/>
        <v>49</v>
      </c>
      <c r="F79" s="26">
        <v>1</v>
      </c>
      <c r="G79" s="378" t="s">
        <v>338</v>
      </c>
      <c r="H79" s="375">
        <v>24</v>
      </c>
      <c r="I79" s="375">
        <v>17.01</v>
      </c>
      <c r="J79" s="375">
        <v>10.75</v>
      </c>
      <c r="K79" s="375">
        <v>0</v>
      </c>
      <c r="L79" s="25">
        <v>30</v>
      </c>
      <c r="M79" s="25"/>
      <c r="N79" s="35">
        <f t="shared" si="7"/>
        <v>1.79</v>
      </c>
      <c r="O79" s="35">
        <v>2.353725</v>
      </c>
      <c r="P79" s="307">
        <f ca="1" t="shared" si="5"/>
        <v>0.0227212495364459</v>
      </c>
      <c r="Q79" s="307">
        <f ca="1" t="shared" si="3"/>
        <v>1.7179799058959</v>
      </c>
      <c r="R79" s="376">
        <v>1</v>
      </c>
      <c r="S79" s="25">
        <f t="shared" si="4"/>
        <v>47</v>
      </c>
      <c r="T79" s="25">
        <f t="shared" si="0"/>
        <v>50</v>
      </c>
      <c r="U79" s="376">
        <f t="shared" si="1"/>
        <v>47</v>
      </c>
      <c r="V79" s="25" t="s">
        <v>334</v>
      </c>
      <c r="W79" s="25">
        <v>58</v>
      </c>
      <c r="X79" s="25">
        <v>1</v>
      </c>
      <c r="Y79" s="226"/>
    </row>
    <row r="80" spans="2:28">
      <c r="D80" s="25">
        <v>20</v>
      </c>
      <c r="E80" s="26">
        <f t="shared" si="2"/>
        <v>53</v>
      </c>
      <c r="F80" s="26">
        <v>1</v>
      </c>
      <c r="H80" s="375">
        <v>26</v>
      </c>
      <c r="I80" s="375">
        <v>18.41</v>
      </c>
      <c r="J80" s="375">
        <v>11.75</v>
      </c>
      <c r="K80" s="375">
        <v>5</v>
      </c>
      <c r="L80" s="25">
        <v>30</v>
      </c>
      <c r="M80" s="25"/>
      <c r="N80" s="35">
        <f t="shared" si="7"/>
        <v>1.82</v>
      </c>
      <c r="O80" s="35">
        <v>2.442825</v>
      </c>
      <c r="P80" s="307">
        <f ca="1" t="shared" si="5"/>
        <v>0.025659427311378</v>
      </c>
      <c r="Q80" s="307">
        <f ca="1" t="shared" si="3"/>
        <v>1.82859458708656</v>
      </c>
      <c r="R80" s="376">
        <v>1</v>
      </c>
      <c r="S80" s="25">
        <f t="shared" si="4"/>
        <v>51</v>
      </c>
      <c r="T80" s="379">
        <f>INT(S80/5)*5+5</f>
        <v>55</v>
      </c>
      <c r="U80" s="376">
        <f t="shared" si="1"/>
        <v>51</v>
      </c>
      <c r="V80" s="25" t="s">
        <v>334</v>
      </c>
      <c r="W80" s="25">
        <v>62</v>
      </c>
      <c r="X80" s="25">
        <v>1</v>
      </c>
      <c r="Y80" s="226"/>
    </row>
    <row r="81" spans="4:25">
      <c r="D81" s="25">
        <f t="shared" ref="D81:D86" si="8">D80+7</f>
        <v>27</v>
      </c>
      <c r="E81" s="26">
        <f t="shared" si="2"/>
        <v>60</v>
      </c>
      <c r="F81" s="26">
        <v>1</v>
      </c>
      <c r="G81" s="378" t="s">
        <v>339</v>
      </c>
      <c r="H81" s="375">
        <v>29.5</v>
      </c>
      <c r="I81" s="375">
        <v>20.56</v>
      </c>
      <c r="J81" s="375">
        <v>13.5</v>
      </c>
      <c r="K81" s="375">
        <v>7.1</v>
      </c>
      <c r="L81" s="25">
        <v>30</v>
      </c>
      <c r="M81" s="25"/>
      <c r="N81" s="35">
        <f t="shared" si="7"/>
        <v>1.85</v>
      </c>
      <c r="O81" s="35">
        <v>2.59875</v>
      </c>
      <c r="P81" s="307">
        <f ca="1" t="shared" si="5"/>
        <v>0.0337252682400139</v>
      </c>
      <c r="Q81" s="307">
        <f ca="1" t="shared" si="3"/>
        <v>2.17960781341063</v>
      </c>
      <c r="R81" s="304">
        <v>0.714285714285714</v>
      </c>
      <c r="S81" s="376">
        <f t="shared" si="4"/>
        <v>56</v>
      </c>
      <c r="T81" s="379">
        <f t="shared" ref="T81:T96" si="9">INT(S81/5)*5+5</f>
        <v>60</v>
      </c>
      <c r="U81" s="376">
        <f t="shared" si="1"/>
        <v>58</v>
      </c>
      <c r="V81" s="25" t="s">
        <v>340</v>
      </c>
      <c r="W81" s="25">
        <v>69</v>
      </c>
      <c r="X81" s="25">
        <v>1</v>
      </c>
      <c r="Y81" s="226"/>
    </row>
    <row r="82" spans="4:25">
      <c r="D82" s="25">
        <f t="shared" si="8"/>
        <v>34</v>
      </c>
      <c r="E82" s="26">
        <f t="shared" si="2"/>
        <v>67</v>
      </c>
      <c r="F82" s="26">
        <v>1</v>
      </c>
      <c r="G82" s="380" t="s">
        <v>341</v>
      </c>
      <c r="H82" s="375">
        <v>30.3</v>
      </c>
      <c r="I82" s="375">
        <v>21.96</v>
      </c>
      <c r="J82" s="375">
        <v>15.1</v>
      </c>
      <c r="K82" s="375">
        <v>9.2</v>
      </c>
      <c r="L82" s="25">
        <v>30</v>
      </c>
      <c r="M82" s="25"/>
      <c r="N82" s="35">
        <f t="shared" si="7"/>
        <v>1.88</v>
      </c>
      <c r="O82" s="35">
        <v>2.99052</v>
      </c>
      <c r="P82" s="307">
        <f ca="1" t="shared" si="5"/>
        <v>0.0402219615100218</v>
      </c>
      <c r="Q82" s="307">
        <f ca="1" t="shared" si="3"/>
        <v>2.49984778767823</v>
      </c>
      <c r="R82" s="304">
        <v>0.714285714285714</v>
      </c>
      <c r="S82" s="376">
        <f t="shared" si="4"/>
        <v>61</v>
      </c>
      <c r="T82" s="379">
        <f t="shared" si="9"/>
        <v>65</v>
      </c>
      <c r="U82" s="376">
        <f t="shared" si="1"/>
        <v>62.9</v>
      </c>
      <c r="V82" s="25" t="s">
        <v>340</v>
      </c>
      <c r="W82" s="25">
        <v>74</v>
      </c>
      <c r="X82" s="25">
        <v>0.7</v>
      </c>
      <c r="Y82" s="226"/>
    </row>
    <row r="83" spans="4:25">
      <c r="D83" s="25">
        <f t="shared" si="8"/>
        <v>41</v>
      </c>
      <c r="E83" s="26">
        <f t="shared" si="2"/>
        <v>74</v>
      </c>
      <c r="F83" s="26">
        <v>1</v>
      </c>
      <c r="H83" s="375">
        <v>30.65</v>
      </c>
      <c r="I83" s="375">
        <v>23.36</v>
      </c>
      <c r="J83" s="375">
        <v>15.8</v>
      </c>
      <c r="K83" s="375">
        <v>10.9</v>
      </c>
      <c r="L83" s="25">
        <v>30</v>
      </c>
      <c r="M83" s="25"/>
      <c r="N83" s="35">
        <f t="shared" si="7"/>
        <v>1.91</v>
      </c>
      <c r="O83" s="35">
        <v>3.6616</v>
      </c>
      <c r="P83" s="307">
        <f ca="1" t="shared" si="5"/>
        <v>0.0452130603867905</v>
      </c>
      <c r="Q83" s="307">
        <f ca="1" t="shared" si="3"/>
        <v>2.7705628696012</v>
      </c>
      <c r="R83" s="304">
        <v>0.714285714285714</v>
      </c>
      <c r="S83" s="376">
        <f t="shared" si="4"/>
        <v>66</v>
      </c>
      <c r="T83" s="379">
        <f t="shared" si="9"/>
        <v>70</v>
      </c>
      <c r="U83" s="376">
        <f t="shared" si="1"/>
        <v>67.8</v>
      </c>
      <c r="V83" s="25" t="s">
        <v>340</v>
      </c>
      <c r="W83" s="25">
        <v>79</v>
      </c>
      <c r="X83" s="25">
        <v>0.7</v>
      </c>
      <c r="Y83" s="226"/>
    </row>
    <row r="84" spans="4:25">
      <c r="D84" s="25">
        <f t="shared" si="8"/>
        <v>48</v>
      </c>
      <c r="E84" s="26">
        <f t="shared" si="2"/>
        <v>81</v>
      </c>
      <c r="F84" s="26">
        <v>1</v>
      </c>
      <c r="H84" s="375">
        <v>31</v>
      </c>
      <c r="I84" s="375">
        <v>24.76</v>
      </c>
      <c r="J84" s="375">
        <v>16.5</v>
      </c>
      <c r="K84" s="375">
        <v>12.3</v>
      </c>
      <c r="L84" s="25">
        <v>30</v>
      </c>
      <c r="M84" s="25"/>
      <c r="N84" s="35">
        <f t="shared" si="7"/>
        <v>1.94</v>
      </c>
      <c r="O84" s="35">
        <v>3.9192</v>
      </c>
      <c r="P84" s="307">
        <f ca="1" t="shared" si="5"/>
        <v>0.0581845552721622</v>
      </c>
      <c r="Q84" s="307">
        <f ca="1" t="shared" si="3"/>
        <v>3.58510035180307</v>
      </c>
      <c r="R84" s="304">
        <v>0.714285714285714</v>
      </c>
      <c r="S84" s="376">
        <f t="shared" si="4"/>
        <v>71</v>
      </c>
      <c r="T84" s="379">
        <f t="shared" si="9"/>
        <v>75</v>
      </c>
      <c r="U84" s="376">
        <f t="shared" si="1"/>
        <v>72.7</v>
      </c>
      <c r="V84" s="25" t="s">
        <v>340</v>
      </c>
      <c r="W84" s="25">
        <v>84</v>
      </c>
      <c r="X84" s="25">
        <v>0.7</v>
      </c>
      <c r="Y84" s="226"/>
    </row>
    <row r="85" spans="4:25">
      <c r="D85" s="25">
        <f t="shared" si="8"/>
        <v>55</v>
      </c>
      <c r="E85" s="26">
        <f t="shared" si="2"/>
        <v>84.5</v>
      </c>
      <c r="F85" s="26">
        <v>0.5</v>
      </c>
      <c r="G85" s="380" t="s">
        <v>342</v>
      </c>
      <c r="H85" s="375">
        <v>31.35</v>
      </c>
      <c r="I85" s="375">
        <v>26.16</v>
      </c>
      <c r="J85" s="375">
        <v>17.2</v>
      </c>
      <c r="K85" s="375">
        <v>13.7</v>
      </c>
      <c r="L85" s="25">
        <v>30</v>
      </c>
      <c r="M85" s="25" t="s">
        <v>326</v>
      </c>
      <c r="N85" s="35">
        <f t="shared" si="7"/>
        <v>1.97</v>
      </c>
      <c r="O85" s="35">
        <v>4.1768</v>
      </c>
      <c r="P85" s="307">
        <f ca="1" t="shared" si="5"/>
        <v>0.058554712689558</v>
      </c>
      <c r="Q85" s="307">
        <f ca="1" t="shared" si="3"/>
        <v>3.61087381672672</v>
      </c>
      <c r="R85" s="304">
        <v>0.714285714285714</v>
      </c>
      <c r="S85" s="376">
        <f t="shared" si="4"/>
        <v>76</v>
      </c>
      <c r="T85" s="379">
        <f t="shared" si="9"/>
        <v>80</v>
      </c>
      <c r="U85" s="376">
        <f t="shared" si="1"/>
        <v>77.6</v>
      </c>
      <c r="V85" s="25" t="s">
        <v>340</v>
      </c>
      <c r="W85" s="25">
        <v>88</v>
      </c>
      <c r="X85" s="25">
        <v>0.7</v>
      </c>
      <c r="Y85" s="226"/>
    </row>
    <row r="86" spans="4:25">
      <c r="D86" s="25">
        <f t="shared" si="8"/>
        <v>62</v>
      </c>
      <c r="E86" s="374">
        <f t="shared" si="2"/>
        <v>88</v>
      </c>
      <c r="F86" s="26">
        <v>0.5</v>
      </c>
      <c r="H86" s="375">
        <v>31.7</v>
      </c>
      <c r="I86" s="375">
        <v>27.56</v>
      </c>
      <c r="J86" s="375">
        <v>17.9</v>
      </c>
      <c r="K86" s="375">
        <v>15.1</v>
      </c>
      <c r="L86" s="25">
        <v>30</v>
      </c>
      <c r="M86" s="307">
        <f ca="1">AVERAGE(P85:P90)</f>
        <v>0.114833788798244</v>
      </c>
      <c r="N86" s="35">
        <f t="shared" si="7"/>
        <v>2</v>
      </c>
      <c r="O86" s="35">
        <v>4.5</v>
      </c>
      <c r="P86" s="307">
        <f ca="1" t="shared" si="5"/>
        <v>0.062536200734565</v>
      </c>
      <c r="Q86" s="307">
        <f ca="1" t="shared" si="3"/>
        <v>3.89758865248227</v>
      </c>
      <c r="R86" s="304">
        <v>0.357142857142857</v>
      </c>
      <c r="S86" s="376">
        <f t="shared" si="4"/>
        <v>78.5</v>
      </c>
      <c r="T86" s="379">
        <f t="shared" si="9"/>
        <v>80</v>
      </c>
      <c r="U86" s="377">
        <f t="shared" si="1"/>
        <v>80.4</v>
      </c>
      <c r="V86" s="25" t="s">
        <v>340</v>
      </c>
      <c r="W86" s="224">
        <v>92</v>
      </c>
      <c r="X86" s="224">
        <v>0.4</v>
      </c>
      <c r="Y86" s="226"/>
    </row>
    <row r="87" spans="4:25">
      <c r="D87" s="25">
        <v>90</v>
      </c>
      <c r="E87" s="26">
        <f t="shared" si="2"/>
        <v>102</v>
      </c>
      <c r="F87" s="26">
        <v>0.5</v>
      </c>
      <c r="G87" s="25"/>
      <c r="H87" s="375">
        <v>33.1</v>
      </c>
      <c r="I87" s="375">
        <v>30.91</v>
      </c>
      <c r="J87" s="375">
        <v>20.3500000000001</v>
      </c>
      <c r="K87" s="375">
        <v>17.34</v>
      </c>
      <c r="L87" s="25">
        <v>30</v>
      </c>
      <c r="M87" s="25"/>
      <c r="N87" s="307">
        <f t="shared" si="7"/>
        <v>2.03</v>
      </c>
      <c r="O87" s="35">
        <v>5.47871999999999</v>
      </c>
      <c r="P87" s="307">
        <f ca="1" t="shared" si="5"/>
        <v>0.0844633846419046</v>
      </c>
      <c r="Q87" s="307">
        <f ca="1" t="shared" si="3"/>
        <v>5.82078941010955</v>
      </c>
      <c r="R87" s="304">
        <v>0.357142857142857</v>
      </c>
      <c r="S87" s="376">
        <f t="shared" si="4"/>
        <v>88.5</v>
      </c>
      <c r="T87" s="379">
        <f t="shared" si="9"/>
        <v>90</v>
      </c>
      <c r="U87" s="376">
        <f t="shared" si="1"/>
        <v>91.6</v>
      </c>
      <c r="V87" s="25" t="s">
        <v>340</v>
      </c>
      <c r="W87" s="25">
        <v>108</v>
      </c>
      <c r="X87" s="25">
        <v>0.4</v>
      </c>
    </row>
    <row r="88" spans="4:25">
      <c r="D88" s="25">
        <v>120</v>
      </c>
      <c r="E88" s="26">
        <f t="shared" si="2"/>
        <v>117</v>
      </c>
      <c r="F88" s="26">
        <v>0.5</v>
      </c>
      <c r="G88" s="380" t="s">
        <v>343</v>
      </c>
      <c r="H88" s="375">
        <v>34.5999999999999</v>
      </c>
      <c r="I88" s="375">
        <v>32.41</v>
      </c>
      <c r="J88" s="375">
        <v>21.8500000000001</v>
      </c>
      <c r="K88" s="375">
        <v>19.7399999999999</v>
      </c>
      <c r="L88" s="25">
        <v>30</v>
      </c>
      <c r="M88" s="25"/>
      <c r="N88" s="307">
        <f t="shared" si="7"/>
        <v>2.06</v>
      </c>
      <c r="O88" s="35">
        <v>7.66528</v>
      </c>
      <c r="P88" s="307">
        <f ca="1" t="shared" si="5"/>
        <v>0.108063102070039</v>
      </c>
      <c r="Q88" s="307">
        <f ca="1" t="shared" si="3"/>
        <v>8.67058585747725</v>
      </c>
      <c r="R88" s="304">
        <v>0.178571428571429</v>
      </c>
      <c r="S88" s="376">
        <f t="shared" si="4"/>
        <v>93.8571428571429</v>
      </c>
      <c r="T88" s="379">
        <f t="shared" si="9"/>
        <v>95</v>
      </c>
      <c r="U88" s="376">
        <f t="shared" si="1"/>
        <v>97.6</v>
      </c>
      <c r="V88" s="25" t="s">
        <v>344</v>
      </c>
      <c r="W88" s="25">
        <v>123</v>
      </c>
      <c r="X88" s="25">
        <v>0.2</v>
      </c>
    </row>
    <row r="89" spans="4:25">
      <c r="D89" s="25">
        <v>150</v>
      </c>
      <c r="E89" s="26">
        <f t="shared" si="2"/>
        <v>132</v>
      </c>
      <c r="F89" s="26">
        <v>0.5</v>
      </c>
      <c r="G89" s="380" t="s">
        <v>345</v>
      </c>
      <c r="H89" s="375">
        <v>36.0999999999998</v>
      </c>
      <c r="I89" s="375">
        <v>33.9099999999999</v>
      </c>
      <c r="J89" s="375">
        <v>23.3500000000001</v>
      </c>
      <c r="K89" s="375">
        <v>21.3599999999999</v>
      </c>
      <c r="L89" s="25">
        <v>30</v>
      </c>
      <c r="M89" s="25"/>
      <c r="N89" s="307">
        <f t="shared" si="7"/>
        <v>2.09</v>
      </c>
      <c r="O89" s="35">
        <v>8.47167999999999</v>
      </c>
      <c r="P89" s="307">
        <f ca="1" t="shared" si="5"/>
        <v>0.15368893049626</v>
      </c>
      <c r="Q89" s="307">
        <f ca="1" t="shared" si="3"/>
        <v>17.2964653281073</v>
      </c>
      <c r="R89" s="304">
        <v>0.178571428571429</v>
      </c>
      <c r="S89" s="376">
        <f t="shared" si="4"/>
        <v>99.2142857142858</v>
      </c>
      <c r="T89" s="379">
        <f t="shared" si="9"/>
        <v>100</v>
      </c>
      <c r="U89" s="376">
        <f t="shared" si="1"/>
        <v>103.6</v>
      </c>
      <c r="V89" s="25" t="s">
        <v>344</v>
      </c>
      <c r="W89" s="25">
        <v>137</v>
      </c>
      <c r="X89" s="25">
        <v>0.2</v>
      </c>
    </row>
    <row r="90" spans="4:25">
      <c r="D90" s="25">
        <v>190</v>
      </c>
      <c r="E90" s="26">
        <f t="shared" si="2"/>
        <v>152</v>
      </c>
      <c r="F90" s="26">
        <v>0.5</v>
      </c>
      <c r="G90" s="380" t="s">
        <v>346</v>
      </c>
      <c r="H90" s="375">
        <v>38.0999999999997</v>
      </c>
      <c r="I90" s="375">
        <v>35.9099999999998</v>
      </c>
      <c r="J90" s="375">
        <v>25.3500000000001</v>
      </c>
      <c r="K90" s="375">
        <v>23.3599999999999</v>
      </c>
      <c r="L90" s="25">
        <v>30</v>
      </c>
      <c r="M90" s="25"/>
      <c r="N90" s="307">
        <f t="shared" si="7"/>
        <v>2.12</v>
      </c>
      <c r="O90" s="35">
        <v>10.71104</v>
      </c>
      <c r="P90" s="307">
        <f ca="1" t="shared" si="5"/>
        <v>0.221696402157136</v>
      </c>
      <c r="Q90" s="307">
        <f ca="1" t="shared" si="3"/>
        <v>41.6724947163103</v>
      </c>
      <c r="R90" s="304">
        <v>0.178571428571429</v>
      </c>
      <c r="S90" s="376">
        <f t="shared" si="4"/>
        <v>106.357142857143</v>
      </c>
      <c r="T90" s="379">
        <f t="shared" si="9"/>
        <v>110</v>
      </c>
      <c r="U90" s="376">
        <f t="shared" si="1"/>
        <v>111.6</v>
      </c>
      <c r="V90" s="25" t="s">
        <v>344</v>
      </c>
      <c r="W90" s="25">
        <v>156</v>
      </c>
      <c r="X90" s="25">
        <v>0.2</v>
      </c>
    </row>
    <row r="91" spans="4:25">
      <c r="D91" s="25">
        <v>250</v>
      </c>
      <c r="E91" s="26">
        <f t="shared" si="2"/>
        <v>182</v>
      </c>
      <c r="F91" s="26">
        <v>0.5</v>
      </c>
      <c r="G91" s="380" t="s">
        <v>347</v>
      </c>
      <c r="H91" s="375">
        <v>41.0999999999995</v>
      </c>
      <c r="I91" s="375">
        <v>38.9099999999996</v>
      </c>
      <c r="J91" s="375">
        <v>28.3500000000002</v>
      </c>
      <c r="K91" s="375">
        <v>26.36</v>
      </c>
      <c r="L91" s="25">
        <v>30</v>
      </c>
      <c r="M91" s="25" t="s">
        <v>334</v>
      </c>
      <c r="N91" s="307">
        <f t="shared" si="7"/>
        <v>2.15</v>
      </c>
      <c r="O91" s="35">
        <v>11.6326399999999</v>
      </c>
      <c r="P91" s="307">
        <f ca="1" t="shared" si="5"/>
        <v>0.388806623300136</v>
      </c>
      <c r="Q91" s="307">
        <f ca="1" t="shared" si="3"/>
        <v>221.163500239425</v>
      </c>
      <c r="R91" s="304">
        <v>0.178571428571429</v>
      </c>
      <c r="S91" s="376">
        <f t="shared" si="4"/>
        <v>117.071428571429</v>
      </c>
      <c r="T91" s="379">
        <f t="shared" si="9"/>
        <v>120</v>
      </c>
      <c r="U91" s="376">
        <f t="shared" si="1"/>
        <v>123.6</v>
      </c>
      <c r="V91" s="25" t="s">
        <v>344</v>
      </c>
      <c r="W91" s="25">
        <v>168</v>
      </c>
      <c r="X91" s="25">
        <v>0.2</v>
      </c>
      <c r="Y91" s="269"/>
    </row>
    <row r="92" spans="4:25">
      <c r="D92" s="25">
        <v>310</v>
      </c>
      <c r="E92" s="26">
        <f t="shared" si="2"/>
        <v>201.8</v>
      </c>
      <c r="F92" s="381">
        <v>0.33</v>
      </c>
      <c r="G92" s="25"/>
      <c r="H92" s="375">
        <v>44.0999999999993</v>
      </c>
      <c r="I92" s="375">
        <v>41.9099999999994</v>
      </c>
      <c r="J92" s="375">
        <v>31.3500000000002</v>
      </c>
      <c r="K92" s="375">
        <v>29.36</v>
      </c>
      <c r="L92" s="25">
        <v>30</v>
      </c>
      <c r="M92" s="307">
        <f ca="1">AVERAGE(P91:P95)</f>
        <v>0.74922491590745</v>
      </c>
      <c r="N92" s="307">
        <f t="shared" si="7"/>
        <v>2.18</v>
      </c>
      <c r="O92" s="35">
        <v>14.1235199999999</v>
      </c>
      <c r="P92" s="307">
        <f ca="1" t="shared" si="5"/>
        <v>0.500559008479957</v>
      </c>
      <c r="Q92" s="307">
        <f ca="1" t="shared" si="3"/>
        <v>527.319257433857</v>
      </c>
      <c r="R92" s="304">
        <v>0.178571428571429</v>
      </c>
      <c r="S92" s="376">
        <f t="shared" si="4"/>
        <v>127.785714285714</v>
      </c>
      <c r="T92" s="379">
        <f t="shared" si="9"/>
        <v>130</v>
      </c>
      <c r="U92" s="376">
        <f t="shared" si="1"/>
        <v>135.6</v>
      </c>
      <c r="V92" s="25" t="s">
        <v>344</v>
      </c>
      <c r="W92" s="25">
        <v>168</v>
      </c>
      <c r="X92" s="25">
        <v>0.2</v>
      </c>
    </row>
    <row r="93" spans="4:25">
      <c r="D93" s="25">
        <v>370</v>
      </c>
      <c r="E93" s="26">
        <f t="shared" si="2"/>
        <v>221.6</v>
      </c>
      <c r="F93" s="381">
        <v>0.33</v>
      </c>
      <c r="G93" s="25"/>
      <c r="H93" s="375">
        <v>47.0999999999992</v>
      </c>
      <c r="I93" s="375">
        <v>44.9099999999993</v>
      </c>
      <c r="J93" s="375">
        <v>34.3500000000001</v>
      </c>
      <c r="K93" s="375">
        <v>32.36</v>
      </c>
      <c r="L93" s="25">
        <v>30</v>
      </c>
      <c r="M93" s="25"/>
      <c r="N93" s="307">
        <f t="shared" si="7"/>
        <v>2.21</v>
      </c>
      <c r="O93" s="35">
        <v>15.1603199999999</v>
      </c>
      <c r="P93" s="307">
        <f ca="1" t="shared" si="5"/>
        <v>0.672264711045231</v>
      </c>
      <c r="Q93" s="307">
        <f ca="1" t="shared" si="3"/>
        <v>1577.94381413931</v>
      </c>
      <c r="R93" s="304">
        <v>0.178571428571429</v>
      </c>
      <c r="S93" s="376">
        <f t="shared" si="4"/>
        <v>138.5</v>
      </c>
      <c r="T93" s="379">
        <f t="shared" si="9"/>
        <v>140</v>
      </c>
      <c r="U93" s="376">
        <f t="shared" si="1"/>
        <v>147.6</v>
      </c>
      <c r="V93" s="25" t="s">
        <v>344</v>
      </c>
      <c r="W93" s="25">
        <v>168</v>
      </c>
      <c r="X93" s="25">
        <v>0.2</v>
      </c>
    </row>
    <row r="94" spans="4:25">
      <c r="D94" s="25">
        <v>430</v>
      </c>
      <c r="E94" s="26">
        <f t="shared" si="2"/>
        <v>241.4</v>
      </c>
      <c r="F94" s="381">
        <v>0.33</v>
      </c>
      <c r="G94" s="25"/>
      <c r="H94" s="375">
        <v>50.099999999999</v>
      </c>
      <c r="I94" s="375">
        <v>47.9099999999991</v>
      </c>
      <c r="J94" s="375">
        <v>37.3499999999999</v>
      </c>
      <c r="K94" s="375">
        <v>35.3599999999999</v>
      </c>
      <c r="L94" s="25">
        <v>30</v>
      </c>
      <c r="M94" s="25"/>
      <c r="N94" s="307">
        <f t="shared" si="7"/>
        <v>2.24</v>
      </c>
      <c r="O94" s="35">
        <v>17.9967999999999</v>
      </c>
      <c r="P94" s="307">
        <f ca="1" t="shared" si="5"/>
        <v>0.869877704182245</v>
      </c>
      <c r="Q94" s="307">
        <f ca="1" t="shared" si="3"/>
        <v>4380.46996734373</v>
      </c>
      <c r="R94" s="304">
        <v>0.178571428571429</v>
      </c>
      <c r="S94" s="376">
        <f t="shared" si="4"/>
        <v>149.214285714286</v>
      </c>
      <c r="T94" s="379">
        <f t="shared" si="9"/>
        <v>150</v>
      </c>
      <c r="U94" s="376">
        <f t="shared" si="1"/>
        <v>159.6</v>
      </c>
      <c r="V94" s="25" t="s">
        <v>344</v>
      </c>
      <c r="W94" s="25">
        <v>168</v>
      </c>
      <c r="X94" s="25">
        <v>0.2</v>
      </c>
    </row>
    <row r="95" spans="4:25">
      <c r="D95" s="25">
        <v>520</v>
      </c>
      <c r="E95" s="26">
        <f t="shared" si="2"/>
        <v>271.1</v>
      </c>
      <c r="F95" s="381">
        <v>0.33</v>
      </c>
      <c r="G95" s="25"/>
      <c r="H95" s="375">
        <v>54.5999999999987</v>
      </c>
      <c r="I95" s="375">
        <v>52.4099999999988</v>
      </c>
      <c r="J95" s="375">
        <v>41.8499999999997</v>
      </c>
      <c r="K95" s="375">
        <v>39.8599999999996</v>
      </c>
      <c r="L95" s="25">
        <v>30</v>
      </c>
      <c r="M95" s="25"/>
      <c r="N95" s="307">
        <f t="shared" si="7"/>
        <v>2.27</v>
      </c>
      <c r="O95" s="35">
        <v>19.7247999999998</v>
      </c>
      <c r="P95" s="307">
        <f ca="1" t="shared" si="5"/>
        <v>1.31461653252968</v>
      </c>
      <c r="Q95" s="307">
        <f ca="1" t="shared" si="3"/>
        <v>24909.4126121466</v>
      </c>
      <c r="R95" s="304">
        <v>0.178571428571429</v>
      </c>
      <c r="S95" s="376">
        <f>R95*(D95-D90)+S90</f>
        <v>165.285714285714</v>
      </c>
      <c r="T95" s="379">
        <f t="shared" si="9"/>
        <v>170</v>
      </c>
      <c r="U95" s="376">
        <f t="shared" si="1"/>
        <v>177.6</v>
      </c>
      <c r="V95" s="25" t="s">
        <v>344</v>
      </c>
      <c r="W95" s="25">
        <v>168</v>
      </c>
      <c r="X95" s="25">
        <v>0.2</v>
      </c>
    </row>
    <row r="96" spans="4:25">
      <c r="D96" s="382">
        <v>600</v>
      </c>
      <c r="E96" s="26">
        <f t="shared" si="2"/>
        <v>297.5</v>
      </c>
      <c r="F96" s="381">
        <v>0.33</v>
      </c>
      <c r="G96" s="25"/>
      <c r="H96" s="375">
        <v>55.5999999999987</v>
      </c>
      <c r="I96" s="375">
        <v>53.4099999999988</v>
      </c>
      <c r="J96" s="375">
        <v>42.8499999999997</v>
      </c>
      <c r="K96" s="375">
        <v>40.8599999999996</v>
      </c>
      <c r="L96" s="25">
        <v>30</v>
      </c>
      <c r="M96" s="25"/>
      <c r="N96" s="307">
        <f t="shared" si="7"/>
        <v>2.3</v>
      </c>
      <c r="O96" s="35">
        <v>20.7247999999998</v>
      </c>
      <c r="P96" s="307">
        <f ca="1" t="shared" si="5"/>
        <v>1.86737507051573</v>
      </c>
      <c r="Q96" s="307">
        <f ca="1" t="shared" si="3"/>
        <v>118017.496242004</v>
      </c>
      <c r="R96" s="304">
        <v>0.178571428571429</v>
      </c>
      <c r="S96" s="376">
        <f>R96*(D96-D91)+S91</f>
        <v>179.571428571429</v>
      </c>
      <c r="T96" s="379">
        <f t="shared" si="9"/>
        <v>180</v>
      </c>
      <c r="U96" s="376">
        <f t="shared" si="1"/>
        <v>193.6</v>
      </c>
      <c r="V96" s="25" t="s">
        <v>344</v>
      </c>
      <c r="W96" s="25">
        <v>169</v>
      </c>
      <c r="X96" s="25">
        <v>0.2</v>
      </c>
    </row>
    <row r="97" spans="4:21">
      <c r="D97" s="383"/>
      <c r="E97" s="384"/>
      <c r="F97" s="385"/>
      <c r="O97" s="282"/>
      <c r="P97" s="86"/>
      <c r="R97" s="86"/>
      <c r="U97" s="251"/>
    </row>
    <row r="98" spans="4:21">
      <c r="D98" s="386" t="s">
        <v>348</v>
      </c>
      <c r="E98" s="384"/>
      <c r="F98" s="384"/>
    </row>
    <row r="99" spans="4:21">
      <c r="D99" s="386"/>
      <c r="E99" s="80"/>
      <c r="F99" s="384"/>
    </row>
    <row r="100" spans="4:21">
      <c r="D100" s="386"/>
      <c r="E100" s="80"/>
      <c r="F100" s="384"/>
    </row>
    <row r="101" spans="4:21">
      <c r="D101" s="386"/>
      <c r="E101" s="80"/>
      <c r="F101" s="384"/>
    </row>
    <row r="102" spans="4:21">
      <c r="D102" s="386"/>
      <c r="E102" s="384"/>
      <c r="F102" s="384"/>
    </row>
    <row r="103" spans="4:21">
      <c r="F103" s="387" t="s">
        <v>349</v>
      </c>
      <c r="G103" s="387"/>
      <c r="H103" s="387"/>
      <c r="I103" s="387"/>
      <c r="J103" s="387"/>
      <c r="K103" s="387"/>
      <c r="L103" s="387"/>
    </row>
    <row r="104" spans="4:21">
      <c r="D104" s="348" t="s">
        <v>296</v>
      </c>
      <c r="E104" s="348" t="s">
        <v>297</v>
      </c>
      <c r="F104" s="388" t="s">
        <v>350</v>
      </c>
      <c r="G104" s="388" t="s">
        <v>351</v>
      </c>
      <c r="H104" s="388" t="s">
        <v>81</v>
      </c>
      <c r="I104" s="388" t="s">
        <v>352</v>
      </c>
      <c r="J104" s="388" t="s">
        <v>353</v>
      </c>
      <c r="K104" s="388" t="s">
        <v>354</v>
      </c>
      <c r="L104" s="388" t="s">
        <v>355</v>
      </c>
      <c r="M104" s="19" t="s">
        <v>356</v>
      </c>
      <c r="N104" s="19" t="s">
        <v>357</v>
      </c>
    </row>
    <row r="105" spans="4:21">
      <c r="D105" s="25">
        <f t="shared" ref="D105:D137" si="10">D64</f>
        <v>1</v>
      </c>
      <c r="E105" s="224">
        <f t="shared" ref="E105:E137" si="11">INT(E64)</f>
        <v>10</v>
      </c>
      <c r="F105" s="25">
        <f ca="1" t="shared" ref="F105:F137" si="12">OFFSET($H$237,E105,0)</f>
        <v>734</v>
      </c>
      <c r="G105" s="35">
        <v>1</v>
      </c>
      <c r="H105" s="377">
        <v>600</v>
      </c>
      <c r="I105" s="376"/>
      <c r="J105" s="35">
        <f ca="1" t="shared" ref="J105:J137" si="13">F105/H105</f>
        <v>1.22333333333333</v>
      </c>
      <c r="K105" s="35"/>
      <c r="L105" s="35">
        <f ca="1" t="shared" ref="L105:L137" si="14">(J105-1)/D105</f>
        <v>0.223333333333333</v>
      </c>
    </row>
    <row r="106" spans="4:21">
      <c r="D106" s="25">
        <f t="shared" si="10"/>
        <v>2</v>
      </c>
      <c r="E106" s="224">
        <f t="shared" si="11"/>
        <v>15</v>
      </c>
      <c r="F106" s="25">
        <f ca="1" t="shared" si="12"/>
        <v>1348</v>
      </c>
      <c r="G106" s="35">
        <f ca="1" t="shared" ref="G106:G137" si="15">(F106/F105)^(1/(E106-E105))</f>
        <v>1.12927253668855</v>
      </c>
      <c r="H106" s="389">
        <f t="shared" ref="H106:H138" si="16">H105+M106*(D106-D105)</f>
        <v>800</v>
      </c>
      <c r="I106" s="390">
        <f t="shared" ref="I106:I137" si="17">(H106/H105-1)/(D106-D105)</f>
        <v>0.333333333333333</v>
      </c>
      <c r="J106" s="35">
        <f ca="1" t="shared" si="13"/>
        <v>1.685</v>
      </c>
      <c r="K106" s="391">
        <f ca="1" t="shared" ref="K106:K137" si="18">(J106/J105)^(1/(D106-D105))-1</f>
        <v>0.377384196185286</v>
      </c>
      <c r="L106" s="35">
        <f ca="1" t="shared" si="14"/>
        <v>0.3425</v>
      </c>
      <c r="M106" s="267">
        <v>200</v>
      </c>
      <c r="N106" s="341">
        <f ca="1" t="shared" ref="N106:N137" si="19">K106</f>
        <v>0.377384196185286</v>
      </c>
      <c r="O106" s="269"/>
    </row>
    <row r="107" spans="4:21">
      <c r="D107" s="25">
        <f t="shared" si="10"/>
        <v>3</v>
      </c>
      <c r="E107" s="224">
        <f t="shared" si="11"/>
        <v>20</v>
      </c>
      <c r="F107" s="25">
        <f ca="1" t="shared" si="12"/>
        <v>2169</v>
      </c>
      <c r="G107" s="35">
        <f ca="1" t="shared" si="15"/>
        <v>1.09980054855766</v>
      </c>
      <c r="H107" s="389">
        <f t="shared" si="16"/>
        <v>1000</v>
      </c>
      <c r="I107" s="390">
        <f t="shared" si="17"/>
        <v>0.25</v>
      </c>
      <c r="J107" s="35">
        <f ca="1" t="shared" si="13"/>
        <v>2.169</v>
      </c>
      <c r="K107" s="391">
        <f ca="1" t="shared" si="18"/>
        <v>0.287240356083086</v>
      </c>
      <c r="L107" s="35">
        <f ca="1" t="shared" si="14"/>
        <v>0.389666666666667</v>
      </c>
      <c r="M107" s="267">
        <v>200</v>
      </c>
      <c r="N107" s="341">
        <f ca="1" t="shared" si="19"/>
        <v>0.287240356083086</v>
      </c>
      <c r="O107" s="269"/>
    </row>
    <row r="108" spans="4:21">
      <c r="D108" s="25">
        <f t="shared" si="10"/>
        <v>4</v>
      </c>
      <c r="E108" s="224">
        <f t="shared" si="11"/>
        <v>24</v>
      </c>
      <c r="F108" s="25">
        <f ca="1" t="shared" si="12"/>
        <v>3173</v>
      </c>
      <c r="G108" s="35">
        <f ca="1" t="shared" si="15"/>
        <v>1.0997719280705</v>
      </c>
      <c r="H108" s="389">
        <f t="shared" si="16"/>
        <v>1150</v>
      </c>
      <c r="I108" s="390">
        <f t="shared" si="17"/>
        <v>0.15</v>
      </c>
      <c r="J108" s="35">
        <f ca="1" t="shared" si="13"/>
        <v>2.75913043478261</v>
      </c>
      <c r="K108" s="391">
        <f ca="1" t="shared" si="18"/>
        <v>0.272074889249704</v>
      </c>
      <c r="L108" s="35">
        <f ca="1" t="shared" si="14"/>
        <v>0.439782608695652</v>
      </c>
      <c r="M108" s="267">
        <v>150</v>
      </c>
      <c r="N108" s="341">
        <f ca="1" t="shared" si="19"/>
        <v>0.272074889249704</v>
      </c>
      <c r="O108" s="269"/>
    </row>
    <row r="109" spans="4:21">
      <c r="D109" s="25">
        <f t="shared" si="10"/>
        <v>5</v>
      </c>
      <c r="E109" s="224">
        <f t="shared" si="11"/>
        <v>27</v>
      </c>
      <c r="F109" s="25">
        <f ca="1" t="shared" si="12"/>
        <v>3995</v>
      </c>
      <c r="G109" s="35">
        <f ca="1" t="shared" si="15"/>
        <v>1.07981387559511</v>
      </c>
      <c r="H109" s="389">
        <f t="shared" si="16"/>
        <v>1300</v>
      </c>
      <c r="I109" s="390">
        <f t="shared" si="17"/>
        <v>0.130434782608696</v>
      </c>
      <c r="J109" s="35">
        <f ca="1" t="shared" si="13"/>
        <v>3.07307692307692</v>
      </c>
      <c r="K109" s="391">
        <f ca="1" t="shared" si="18"/>
        <v>0.113784576595796</v>
      </c>
      <c r="L109" s="35">
        <f ca="1" t="shared" si="14"/>
        <v>0.414615384615385</v>
      </c>
      <c r="M109" s="267">
        <v>150</v>
      </c>
      <c r="N109" s="341">
        <f ca="1" t="shared" si="19"/>
        <v>0.113784576595796</v>
      </c>
      <c r="O109" s="269"/>
    </row>
    <row r="110" spans="4:21">
      <c r="D110" s="25">
        <f t="shared" si="10"/>
        <v>6</v>
      </c>
      <c r="E110" s="224">
        <f t="shared" si="11"/>
        <v>30</v>
      </c>
      <c r="F110" s="25">
        <f ca="1" t="shared" si="12"/>
        <v>4893</v>
      </c>
      <c r="G110" s="35">
        <f ca="1" t="shared" si="15"/>
        <v>1.06992370732136</v>
      </c>
      <c r="H110" s="389">
        <f t="shared" si="16"/>
        <v>1450</v>
      </c>
      <c r="I110" s="390">
        <f t="shared" si="17"/>
        <v>0.115384615384615</v>
      </c>
      <c r="J110" s="35">
        <f ca="1" t="shared" si="13"/>
        <v>3.37448275862069</v>
      </c>
      <c r="K110" s="391">
        <f ca="1" t="shared" si="18"/>
        <v>0.0980794959216262</v>
      </c>
      <c r="L110" s="35">
        <f ca="1" t="shared" si="14"/>
        <v>0.395747126436782</v>
      </c>
      <c r="M110" s="267">
        <v>150</v>
      </c>
      <c r="N110" s="341">
        <f ca="1" t="shared" si="19"/>
        <v>0.0980794959216262</v>
      </c>
      <c r="O110" s="269"/>
    </row>
    <row r="111" spans="4:21">
      <c r="D111" s="25">
        <f t="shared" si="10"/>
        <v>7</v>
      </c>
      <c r="E111" s="224">
        <f t="shared" si="11"/>
        <v>33</v>
      </c>
      <c r="F111" s="25">
        <f ca="1" t="shared" si="12"/>
        <v>5993</v>
      </c>
      <c r="G111" s="35">
        <f ca="1" t="shared" si="15"/>
        <v>1.0699324365365</v>
      </c>
      <c r="H111" s="389">
        <f t="shared" si="16"/>
        <v>1550</v>
      </c>
      <c r="I111" s="390">
        <f t="shared" si="17"/>
        <v>0.0689655172413792</v>
      </c>
      <c r="J111" s="302">
        <f ca="1" t="shared" si="13"/>
        <v>3.86645161290323</v>
      </c>
      <c r="K111" s="391">
        <f ca="1" t="shared" si="18"/>
        <v>0.145790892848902</v>
      </c>
      <c r="L111" s="35">
        <f ca="1" t="shared" si="14"/>
        <v>0.409493087557604</v>
      </c>
      <c r="M111" s="267">
        <v>100</v>
      </c>
      <c r="N111" s="341">
        <f ca="1" t="shared" si="19"/>
        <v>0.145790892848902</v>
      </c>
      <c r="O111" s="269"/>
    </row>
    <row r="112" spans="4:21">
      <c r="D112" s="25">
        <f t="shared" si="10"/>
        <v>8</v>
      </c>
      <c r="E112" s="224">
        <f t="shared" si="11"/>
        <v>35</v>
      </c>
      <c r="F112" s="25">
        <f ca="1" t="shared" si="12"/>
        <v>6860</v>
      </c>
      <c r="G112" s="35">
        <f ca="1" t="shared" si="15"/>
        <v>1.06989194792914</v>
      </c>
      <c r="H112" s="389">
        <f t="shared" si="16"/>
        <v>1650</v>
      </c>
      <c r="I112" s="390">
        <f t="shared" si="17"/>
        <v>0.064516129032258</v>
      </c>
      <c r="J112" s="35">
        <f ca="1" t="shared" si="13"/>
        <v>4.15757575757576</v>
      </c>
      <c r="K112" s="391">
        <f ca="1" t="shared" si="18"/>
        <v>0.0752949147743074</v>
      </c>
      <c r="L112" s="35">
        <f ca="1" t="shared" si="14"/>
        <v>0.39469696969697</v>
      </c>
      <c r="M112" s="267">
        <v>100</v>
      </c>
      <c r="N112" s="341">
        <f ca="1" t="shared" si="19"/>
        <v>0.0752949147743074</v>
      </c>
      <c r="O112" s="269"/>
    </row>
    <row r="113" spans="4:24">
      <c r="D113" s="25">
        <f t="shared" si="10"/>
        <v>9</v>
      </c>
      <c r="E113" s="224">
        <f t="shared" si="11"/>
        <v>37</v>
      </c>
      <c r="F113" s="25">
        <f ca="1" t="shared" si="12"/>
        <v>7853</v>
      </c>
      <c r="G113" s="35">
        <f ca="1" t="shared" si="15"/>
        <v>1.06993092608304</v>
      </c>
      <c r="H113" s="389">
        <f t="shared" si="16"/>
        <v>1750</v>
      </c>
      <c r="I113" s="390">
        <f t="shared" si="17"/>
        <v>0.0606060606060606</v>
      </c>
      <c r="J113" s="35">
        <f ca="1" t="shared" si="13"/>
        <v>4.48742857142857</v>
      </c>
      <c r="K113" s="391">
        <f ca="1" t="shared" si="18"/>
        <v>0.0793377759266973</v>
      </c>
      <c r="L113" s="35">
        <f ca="1" t="shared" si="14"/>
        <v>0.387492063492063</v>
      </c>
      <c r="M113" s="267">
        <v>100</v>
      </c>
      <c r="N113" s="341">
        <f ca="1" t="shared" si="19"/>
        <v>0.0793377759266973</v>
      </c>
      <c r="O113" s="269"/>
    </row>
    <row r="114" spans="4:24">
      <c r="D114" s="25">
        <f t="shared" si="10"/>
        <v>10</v>
      </c>
      <c r="E114" s="224">
        <f t="shared" si="11"/>
        <v>39</v>
      </c>
      <c r="F114" s="25">
        <f ca="1" t="shared" si="12"/>
        <v>8990</v>
      </c>
      <c r="G114" s="35">
        <f ca="1" t="shared" si="15"/>
        <v>1.06994646236102</v>
      </c>
      <c r="H114" s="389">
        <f t="shared" si="16"/>
        <v>1850</v>
      </c>
      <c r="I114" s="390">
        <f t="shared" si="17"/>
        <v>0.0571428571428572</v>
      </c>
      <c r="J114" s="35">
        <f ca="1" t="shared" si="13"/>
        <v>4.85945945945946</v>
      </c>
      <c r="K114" s="391">
        <f ca="1" t="shared" si="18"/>
        <v>0.0829051386800017</v>
      </c>
      <c r="L114" s="35">
        <f ca="1" t="shared" si="14"/>
        <v>0.385945945945946</v>
      </c>
      <c r="M114" s="267">
        <v>100</v>
      </c>
      <c r="N114" s="341">
        <f ca="1" t="shared" si="19"/>
        <v>0.0829051386800017</v>
      </c>
      <c r="O114" s="269"/>
    </row>
    <row r="115" spans="4:24">
      <c r="D115" s="25">
        <f t="shared" si="10"/>
        <v>11</v>
      </c>
      <c r="E115" s="224">
        <f t="shared" si="11"/>
        <v>41</v>
      </c>
      <c r="F115" s="25">
        <f ca="1" t="shared" si="12"/>
        <v>10292</v>
      </c>
      <c r="G115" s="35">
        <f ca="1" t="shared" si="15"/>
        <v>1.06996616124385</v>
      </c>
      <c r="H115" s="389">
        <f t="shared" si="16"/>
        <v>1950</v>
      </c>
      <c r="I115" s="390">
        <f t="shared" si="17"/>
        <v>0.0540540540540539</v>
      </c>
      <c r="J115" s="35">
        <f ca="1" t="shared" si="13"/>
        <v>5.27794871794872</v>
      </c>
      <c r="K115" s="391">
        <f ca="1" t="shared" si="18"/>
        <v>0.0861184792219276</v>
      </c>
      <c r="L115" s="35">
        <f ca="1" t="shared" si="14"/>
        <v>0.388904428904429</v>
      </c>
      <c r="M115" s="267">
        <v>100</v>
      </c>
      <c r="N115" s="341">
        <f ca="1" t="shared" si="19"/>
        <v>0.0861184792219276</v>
      </c>
      <c r="O115" s="269"/>
    </row>
    <row r="116" spans="4:24">
      <c r="D116" s="25">
        <f t="shared" si="10"/>
        <v>12</v>
      </c>
      <c r="E116" s="224">
        <f t="shared" si="11"/>
        <v>43</v>
      </c>
      <c r="F116" s="25">
        <f ca="1" t="shared" si="12"/>
        <v>11782</v>
      </c>
      <c r="G116" s="35">
        <f ca="1" t="shared" si="15"/>
        <v>1.0699404838321</v>
      </c>
      <c r="H116" s="389">
        <f t="shared" si="16"/>
        <v>2050</v>
      </c>
      <c r="I116" s="390">
        <f t="shared" si="17"/>
        <v>0.0512820512820513</v>
      </c>
      <c r="J116" s="35">
        <f ca="1" t="shared" si="13"/>
        <v>5.74731707317073</v>
      </c>
      <c r="K116" s="391">
        <f ca="1" t="shared" si="18"/>
        <v>0.0889300711895575</v>
      </c>
      <c r="L116" s="35">
        <f ca="1" t="shared" si="14"/>
        <v>0.395609756097561</v>
      </c>
      <c r="M116" s="267">
        <v>100</v>
      </c>
      <c r="N116" s="341">
        <f ca="1" t="shared" si="19"/>
        <v>0.0889300711895575</v>
      </c>
      <c r="O116" s="269"/>
    </row>
    <row r="117" spans="4:24">
      <c r="D117" s="25">
        <f t="shared" si="10"/>
        <v>13</v>
      </c>
      <c r="E117" s="224">
        <f t="shared" si="11"/>
        <v>45</v>
      </c>
      <c r="F117" s="25">
        <f ca="1" t="shared" si="12"/>
        <v>13488</v>
      </c>
      <c r="G117" s="35">
        <f ca="1" t="shared" si="15"/>
        <v>1.0699519373281</v>
      </c>
      <c r="H117" s="389">
        <f t="shared" si="16"/>
        <v>2150</v>
      </c>
      <c r="I117" s="390">
        <f t="shared" si="17"/>
        <v>0.0487804878048781</v>
      </c>
      <c r="J117" s="35">
        <f ca="1" t="shared" si="13"/>
        <v>6.27348837209302</v>
      </c>
      <c r="K117" s="391">
        <f ca="1" t="shared" si="18"/>
        <v>0.0915507692064759</v>
      </c>
      <c r="L117" s="35">
        <f ca="1" t="shared" si="14"/>
        <v>0.405652951699463</v>
      </c>
      <c r="M117" s="267">
        <v>100</v>
      </c>
      <c r="N117" s="341">
        <f ca="1" t="shared" si="19"/>
        <v>0.0915507692064759</v>
      </c>
      <c r="O117" s="269"/>
    </row>
    <row r="118" spans="4:24">
      <c r="D118" s="25">
        <f t="shared" si="10"/>
        <v>14</v>
      </c>
      <c r="E118" s="224">
        <f t="shared" si="11"/>
        <v>47</v>
      </c>
      <c r="F118" s="25">
        <f ca="1" t="shared" si="12"/>
        <v>15442</v>
      </c>
      <c r="G118" s="35">
        <f ca="1" t="shared" si="15"/>
        <v>1.06998575394337</v>
      </c>
      <c r="H118" s="389">
        <f t="shared" si="16"/>
        <v>2250</v>
      </c>
      <c r="I118" s="390">
        <f t="shared" si="17"/>
        <v>0.0465116279069768</v>
      </c>
      <c r="J118" s="302">
        <f ca="1" t="shared" si="13"/>
        <v>6.86311111111111</v>
      </c>
      <c r="K118" s="391">
        <f ca="1" t="shared" si="18"/>
        <v>0.0939864241465664</v>
      </c>
      <c r="L118" s="35">
        <f ca="1" t="shared" si="14"/>
        <v>0.418793650793651</v>
      </c>
      <c r="M118" s="267">
        <v>100</v>
      </c>
      <c r="N118" s="341">
        <f ca="1" t="shared" si="19"/>
        <v>0.0939864241465664</v>
      </c>
      <c r="O118" s="269"/>
    </row>
    <row r="119" spans="4:24">
      <c r="D119" s="25">
        <f t="shared" si="10"/>
        <v>15</v>
      </c>
      <c r="E119" s="224">
        <f t="shared" si="11"/>
        <v>48</v>
      </c>
      <c r="F119" s="25">
        <f ca="1" t="shared" si="12"/>
        <v>16522</v>
      </c>
      <c r="G119" s="35">
        <f ca="1" t="shared" si="15"/>
        <v>1.06993912705608</v>
      </c>
      <c r="H119" s="389">
        <f t="shared" si="16"/>
        <v>2350</v>
      </c>
      <c r="I119" s="390">
        <f t="shared" si="17"/>
        <v>0.0444444444444445</v>
      </c>
      <c r="J119" s="35">
        <f ca="1" t="shared" si="13"/>
        <v>7.03063829787234</v>
      </c>
      <c r="K119" s="391">
        <f ca="1" t="shared" si="18"/>
        <v>0.0244098025005028</v>
      </c>
      <c r="L119" s="35">
        <f ca="1" t="shared" si="14"/>
        <v>0.402042553191489</v>
      </c>
      <c r="M119" s="267">
        <v>100</v>
      </c>
      <c r="N119" s="341">
        <f ca="1" t="shared" si="19"/>
        <v>0.0244098025005028</v>
      </c>
      <c r="O119" s="269"/>
    </row>
    <row r="120" spans="4:24">
      <c r="D120" s="25">
        <f t="shared" si="10"/>
        <v>16</v>
      </c>
      <c r="E120" s="224">
        <f t="shared" si="11"/>
        <v>49</v>
      </c>
      <c r="F120" s="25">
        <f ca="1" t="shared" si="12"/>
        <v>17678</v>
      </c>
      <c r="G120" s="35">
        <f ca="1" t="shared" si="15"/>
        <v>1.06996731630553</v>
      </c>
      <c r="H120" s="389">
        <f t="shared" si="16"/>
        <v>2450</v>
      </c>
      <c r="I120" s="390">
        <f t="shared" si="17"/>
        <v>0.0425531914893618</v>
      </c>
      <c r="J120" s="35">
        <f ca="1" t="shared" si="13"/>
        <v>7.21551020408163</v>
      </c>
      <c r="K120" s="391">
        <f ca="1" t="shared" si="18"/>
        <v>0.0262951809461225</v>
      </c>
      <c r="L120" s="35">
        <f ca="1" t="shared" si="14"/>
        <v>0.388469387755102</v>
      </c>
      <c r="M120" s="267">
        <v>100</v>
      </c>
      <c r="N120" s="341">
        <f ca="1" t="shared" si="19"/>
        <v>0.0262951809461225</v>
      </c>
      <c r="O120" s="269"/>
    </row>
    <row r="121" spans="4:24">
      <c r="D121" s="25">
        <f t="shared" si="10"/>
        <v>20</v>
      </c>
      <c r="E121" s="224">
        <f t="shared" si="11"/>
        <v>53</v>
      </c>
      <c r="F121" s="25">
        <f ca="1" t="shared" si="12"/>
        <v>23170</v>
      </c>
      <c r="G121" s="35">
        <f ca="1" t="shared" si="15"/>
        <v>1.0699740035718</v>
      </c>
      <c r="H121" s="389">
        <f t="shared" si="16"/>
        <v>2850</v>
      </c>
      <c r="I121" s="390">
        <f t="shared" si="17"/>
        <v>0.0408163265306122</v>
      </c>
      <c r="J121" s="35">
        <f ca="1" t="shared" si="13"/>
        <v>8.12982456140351</v>
      </c>
      <c r="K121" s="391">
        <f ca="1" t="shared" si="18"/>
        <v>0.0302758789518385</v>
      </c>
      <c r="L121" s="35">
        <f ca="1" t="shared" si="14"/>
        <v>0.356491228070175</v>
      </c>
      <c r="M121" s="267">
        <v>100</v>
      </c>
      <c r="N121" s="341">
        <f ca="1" t="shared" si="19"/>
        <v>0.0302758789518385</v>
      </c>
      <c r="O121" s="269"/>
      <c r="W121" s="19">
        <f>30%</f>
        <v>0.3</v>
      </c>
    </row>
    <row r="122" spans="4:24">
      <c r="D122" s="25">
        <f t="shared" si="10"/>
        <v>27</v>
      </c>
      <c r="E122" s="224">
        <f t="shared" si="11"/>
        <v>60</v>
      </c>
      <c r="F122" s="25">
        <f ca="1" t="shared" si="12"/>
        <v>37200</v>
      </c>
      <c r="G122" s="35">
        <f ca="1" t="shared" si="15"/>
        <v>1.06997552533197</v>
      </c>
      <c r="H122" s="389">
        <f t="shared" si="16"/>
        <v>3550</v>
      </c>
      <c r="I122" s="390">
        <f t="shared" si="17"/>
        <v>0.0350877192982456</v>
      </c>
      <c r="J122" s="35">
        <f ca="1" t="shared" si="13"/>
        <v>10.4788732394366</v>
      </c>
      <c r="K122" s="391">
        <f ca="1" t="shared" si="18"/>
        <v>0.0369256807097669</v>
      </c>
      <c r="L122" s="35">
        <f ca="1" t="shared" si="14"/>
        <v>0.351069379238393</v>
      </c>
      <c r="M122" s="267">
        <v>100</v>
      </c>
      <c r="N122" s="341">
        <f ca="1" t="shared" si="19"/>
        <v>0.0369256807097669</v>
      </c>
      <c r="O122" s="269"/>
      <c r="W122" s="19">
        <f>1000%</f>
        <v>10</v>
      </c>
      <c r="X122" s="19">
        <f>W122+0.1</f>
        <v>10.1</v>
      </c>
    </row>
    <row r="123" spans="4:24">
      <c r="D123" s="25">
        <f t="shared" si="10"/>
        <v>34</v>
      </c>
      <c r="E123" s="224">
        <f t="shared" si="11"/>
        <v>67</v>
      </c>
      <c r="F123" s="25">
        <f ca="1" t="shared" si="12"/>
        <v>59732</v>
      </c>
      <c r="G123" s="35">
        <f ca="1" t="shared" si="15"/>
        <v>1.06999214158188</v>
      </c>
      <c r="H123" s="389">
        <f t="shared" si="16"/>
        <v>4250</v>
      </c>
      <c r="I123" s="390">
        <f t="shared" si="17"/>
        <v>0.028169014084507</v>
      </c>
      <c r="J123" s="35">
        <f ca="1" t="shared" si="13"/>
        <v>14.0545882352941</v>
      </c>
      <c r="K123" s="391">
        <f ca="1" t="shared" si="18"/>
        <v>0.0428330614443306</v>
      </c>
      <c r="L123" s="35">
        <f ca="1" t="shared" si="14"/>
        <v>0.383958477508651</v>
      </c>
      <c r="M123" s="267">
        <v>100</v>
      </c>
      <c r="N123" s="341">
        <f ca="1" t="shared" si="19"/>
        <v>0.0428330614443306</v>
      </c>
      <c r="O123" s="269"/>
      <c r="W123" s="19">
        <f>W122*W121+1-W121</f>
        <v>3.7</v>
      </c>
    </row>
    <row r="124" spans="4:24">
      <c r="D124" s="25">
        <f t="shared" si="10"/>
        <v>41</v>
      </c>
      <c r="E124" s="224">
        <f t="shared" si="11"/>
        <v>74</v>
      </c>
      <c r="F124" s="25">
        <f ca="1" t="shared" si="12"/>
        <v>95913</v>
      </c>
      <c r="G124" s="35">
        <f ca="1" t="shared" si="15"/>
        <v>1.06999435974883</v>
      </c>
      <c r="H124" s="389">
        <f t="shared" si="16"/>
        <v>4950</v>
      </c>
      <c r="I124" s="390">
        <f t="shared" si="17"/>
        <v>0.0235294117647059</v>
      </c>
      <c r="J124" s="302">
        <f ca="1" t="shared" si="13"/>
        <v>19.3763636363636</v>
      </c>
      <c r="K124" s="391">
        <f ca="1" t="shared" si="18"/>
        <v>0.0469405505624614</v>
      </c>
      <c r="L124" s="35">
        <f ca="1" t="shared" si="14"/>
        <v>0.44820399113082</v>
      </c>
      <c r="M124" s="267">
        <v>100</v>
      </c>
      <c r="N124" s="341">
        <f ca="1" t="shared" si="19"/>
        <v>0.0469405505624614</v>
      </c>
      <c r="O124" s="269"/>
    </row>
    <row r="125" spans="4:24">
      <c r="D125" s="25">
        <f t="shared" si="10"/>
        <v>48</v>
      </c>
      <c r="E125" s="224">
        <f t="shared" si="11"/>
        <v>81</v>
      </c>
      <c r="F125" s="25">
        <f ca="1" t="shared" si="12"/>
        <v>154010</v>
      </c>
      <c r="G125" s="35">
        <f ca="1" t="shared" si="15"/>
        <v>1.06999472116476</v>
      </c>
      <c r="H125" s="389">
        <f t="shared" si="16"/>
        <v>5650</v>
      </c>
      <c r="I125" s="390">
        <f t="shared" si="17"/>
        <v>0.0202020202020202</v>
      </c>
      <c r="J125" s="35">
        <f ca="1" t="shared" si="13"/>
        <v>27.258407079646</v>
      </c>
      <c r="K125" s="391">
        <f ca="1" t="shared" si="18"/>
        <v>0.0499665335880792</v>
      </c>
      <c r="L125" s="35">
        <f ca="1" t="shared" si="14"/>
        <v>0.547050147492625</v>
      </c>
      <c r="M125" s="267">
        <v>100</v>
      </c>
      <c r="N125" s="341">
        <f ca="1" t="shared" si="19"/>
        <v>0.0499665335880792</v>
      </c>
      <c r="O125" s="269"/>
    </row>
    <row r="126" spans="4:24">
      <c r="D126" s="25">
        <f t="shared" si="10"/>
        <v>55</v>
      </c>
      <c r="E126" s="224">
        <f t="shared" si="11"/>
        <v>84</v>
      </c>
      <c r="F126" s="25">
        <f ca="1" t="shared" si="12"/>
        <v>188667</v>
      </c>
      <c r="G126" s="35">
        <f ca="1" t="shared" si="15"/>
        <v>1.06999646027685</v>
      </c>
      <c r="H126" s="389">
        <f t="shared" si="16"/>
        <v>6350</v>
      </c>
      <c r="I126" s="390">
        <f t="shared" si="17"/>
        <v>0.0176991150442478</v>
      </c>
      <c r="J126" s="35">
        <f ca="1" t="shared" si="13"/>
        <v>29.7113385826772</v>
      </c>
      <c r="K126" s="391">
        <f ca="1" t="shared" si="18"/>
        <v>0.0123856103374387</v>
      </c>
      <c r="L126" s="35">
        <f ca="1" t="shared" si="14"/>
        <v>0.522024337866858</v>
      </c>
      <c r="M126" s="267">
        <v>100</v>
      </c>
      <c r="N126" s="341">
        <f ca="1" t="shared" si="19"/>
        <v>0.0123856103374387</v>
      </c>
      <c r="O126" s="269"/>
    </row>
    <row r="127" spans="4:24">
      <c r="D127" s="25">
        <f t="shared" si="10"/>
        <v>62</v>
      </c>
      <c r="E127" s="224">
        <f t="shared" si="11"/>
        <v>88</v>
      </c>
      <c r="F127" s="25">
        <f ca="1" t="shared" si="12"/>
        <v>247302</v>
      </c>
      <c r="G127" s="35">
        <f ca="1" t="shared" si="15"/>
        <v>1.0699978898617</v>
      </c>
      <c r="H127" s="389">
        <f t="shared" si="16"/>
        <v>7050</v>
      </c>
      <c r="I127" s="390">
        <f t="shared" si="17"/>
        <v>0.015748031496063</v>
      </c>
      <c r="J127" s="302">
        <f ca="1" t="shared" si="13"/>
        <v>35.0782978723404</v>
      </c>
      <c r="K127" s="391">
        <f ca="1" t="shared" si="18"/>
        <v>0.0240055903646774</v>
      </c>
      <c r="L127" s="35">
        <f ca="1" t="shared" si="14"/>
        <v>0.54964996568291</v>
      </c>
      <c r="M127" s="267">
        <v>100</v>
      </c>
      <c r="N127" s="341">
        <f ca="1" t="shared" si="19"/>
        <v>0.0240055903646774</v>
      </c>
      <c r="O127" s="269"/>
      <c r="P127" s="269"/>
      <c r="Q127" s="269"/>
    </row>
    <row r="128" spans="4:24">
      <c r="D128" s="25">
        <f t="shared" si="10"/>
        <v>90</v>
      </c>
      <c r="E128" s="224">
        <f t="shared" si="11"/>
        <v>102</v>
      </c>
      <c r="F128" s="25">
        <f ca="1" t="shared" si="12"/>
        <v>637666</v>
      </c>
      <c r="G128" s="35">
        <f ca="1" t="shared" si="15"/>
        <v>1.06999872324786</v>
      </c>
      <c r="H128" s="389">
        <f t="shared" si="16"/>
        <v>9850</v>
      </c>
      <c r="I128" s="390">
        <f t="shared" si="17"/>
        <v>0.0141843971631206</v>
      </c>
      <c r="J128" s="35">
        <f ca="1" t="shared" si="13"/>
        <v>64.7376649746193</v>
      </c>
      <c r="K128" s="391">
        <f ca="1" t="shared" si="18"/>
        <v>0.0221255226380304</v>
      </c>
      <c r="L128" s="35">
        <f ca="1" t="shared" si="14"/>
        <v>0.70819627749577</v>
      </c>
      <c r="M128" s="267">
        <v>100</v>
      </c>
      <c r="N128" s="341">
        <f ca="1" t="shared" si="19"/>
        <v>0.0221255226380304</v>
      </c>
      <c r="O128" s="269"/>
      <c r="P128" s="392"/>
    </row>
    <row r="129" spans="4:30">
      <c r="D129" s="25">
        <f t="shared" si="10"/>
        <v>120</v>
      </c>
      <c r="E129" s="224">
        <f t="shared" si="11"/>
        <v>117</v>
      </c>
      <c r="F129" s="25">
        <f ca="1" t="shared" si="12"/>
        <v>1759328</v>
      </c>
      <c r="G129" s="35">
        <f ca="1" t="shared" si="15"/>
        <v>1.06999948886389</v>
      </c>
      <c r="H129" s="389">
        <f t="shared" si="16"/>
        <v>12850</v>
      </c>
      <c r="I129" s="390">
        <f t="shared" si="17"/>
        <v>0.0101522842639594</v>
      </c>
      <c r="J129" s="35">
        <f ca="1" t="shared" si="13"/>
        <v>136.912684824903</v>
      </c>
      <c r="K129" s="391">
        <f ca="1" t="shared" si="18"/>
        <v>0.0252809509461474</v>
      </c>
      <c r="L129" s="35">
        <f ca="1" t="shared" si="14"/>
        <v>1.13260570687419</v>
      </c>
      <c r="M129" s="267">
        <v>100</v>
      </c>
      <c r="N129" s="341">
        <f ca="1" t="shared" si="19"/>
        <v>0.0252809509461474</v>
      </c>
      <c r="O129" s="269"/>
    </row>
    <row r="130" spans="4:30">
      <c r="D130" s="25">
        <f t="shared" si="10"/>
        <v>150</v>
      </c>
      <c r="E130" s="224">
        <f t="shared" si="11"/>
        <v>132</v>
      </c>
      <c r="F130" s="25">
        <f ca="1" t="shared" si="12"/>
        <v>4854030</v>
      </c>
      <c r="G130" s="35">
        <f ca="1" t="shared" si="15"/>
        <v>1.06999983184528</v>
      </c>
      <c r="H130" s="389">
        <f t="shared" si="16"/>
        <v>15850</v>
      </c>
      <c r="I130" s="390">
        <f t="shared" si="17"/>
        <v>0.00778210116731518</v>
      </c>
      <c r="J130" s="35">
        <f ca="1" t="shared" si="13"/>
        <v>306.247949526814</v>
      </c>
      <c r="K130" s="391">
        <f ca="1" t="shared" si="18"/>
        <v>0.0271983586113493</v>
      </c>
      <c r="L130" s="35">
        <f ca="1" t="shared" si="14"/>
        <v>2.03498633017876</v>
      </c>
      <c r="M130" s="267">
        <v>100</v>
      </c>
      <c r="N130" s="341">
        <f ca="1" t="shared" si="19"/>
        <v>0.0271983586113493</v>
      </c>
      <c r="O130" s="269"/>
    </row>
    <row r="131" spans="4:30">
      <c r="D131" s="25">
        <f t="shared" si="10"/>
        <v>190</v>
      </c>
      <c r="E131" s="224">
        <f t="shared" si="11"/>
        <v>152</v>
      </c>
      <c r="F131" s="25">
        <f ca="1" t="shared" si="12"/>
        <v>18783543</v>
      </c>
      <c r="G131" s="35">
        <f ca="1" t="shared" si="15"/>
        <v>1.06999993884426</v>
      </c>
      <c r="H131" s="389">
        <f t="shared" si="16"/>
        <v>19850</v>
      </c>
      <c r="I131" s="390">
        <f t="shared" si="17"/>
        <v>0.00630914826498423</v>
      </c>
      <c r="J131" s="35">
        <f ca="1" t="shared" si="13"/>
        <v>946.274206549118</v>
      </c>
      <c r="K131" s="391">
        <f ca="1" t="shared" si="18"/>
        <v>0.0286049153111096</v>
      </c>
      <c r="L131" s="35">
        <f ca="1" t="shared" si="14"/>
        <v>4.9751274028901</v>
      </c>
      <c r="M131" s="267">
        <v>100</v>
      </c>
      <c r="N131" s="341">
        <f ca="1" t="shared" si="19"/>
        <v>0.0286049153111096</v>
      </c>
      <c r="O131" s="269"/>
    </row>
    <row r="132" spans="4:30">
      <c r="D132" s="25">
        <f t="shared" si="10"/>
        <v>250</v>
      </c>
      <c r="E132" s="224">
        <f t="shared" si="11"/>
        <v>182</v>
      </c>
      <c r="F132" s="25">
        <f ca="1" t="shared" si="12"/>
        <v>142985089</v>
      </c>
      <c r="G132" s="35">
        <f ca="1" t="shared" si="15"/>
        <v>1.06999999228701</v>
      </c>
      <c r="H132" s="389">
        <f t="shared" si="16"/>
        <v>25850</v>
      </c>
      <c r="I132" s="390">
        <f t="shared" si="17"/>
        <v>0.00503778337531486</v>
      </c>
      <c r="J132" s="35">
        <f ca="1" t="shared" si="13"/>
        <v>5531.33806576402</v>
      </c>
      <c r="K132" s="391">
        <f ca="1" t="shared" si="18"/>
        <v>0.029864812954697</v>
      </c>
      <c r="L132" s="35">
        <f ca="1" t="shared" si="14"/>
        <v>22.1213522630561</v>
      </c>
      <c r="M132" s="267">
        <v>100</v>
      </c>
      <c r="N132" s="341">
        <f ca="1" t="shared" si="19"/>
        <v>0.029864812954697</v>
      </c>
      <c r="O132" s="269"/>
    </row>
    <row r="133" spans="4:30">
      <c r="D133" s="25">
        <f t="shared" si="10"/>
        <v>310</v>
      </c>
      <c r="E133" s="224">
        <f t="shared" si="11"/>
        <v>201</v>
      </c>
      <c r="F133" s="25">
        <f ca="1" t="shared" si="12"/>
        <v>517109494</v>
      </c>
      <c r="G133" s="35">
        <f ca="1" t="shared" si="15"/>
        <v>1.06999999809767</v>
      </c>
      <c r="H133" s="389">
        <f t="shared" si="16"/>
        <v>31850</v>
      </c>
      <c r="I133" s="390">
        <f t="shared" si="17"/>
        <v>0.00386847195357834</v>
      </c>
      <c r="J133" s="35">
        <f ca="1" t="shared" si="13"/>
        <v>16235.7768916797</v>
      </c>
      <c r="K133" s="391">
        <f ca="1" t="shared" si="18"/>
        <v>0.0181084638109736</v>
      </c>
      <c r="L133" s="35">
        <f ca="1" t="shared" si="14"/>
        <v>52.3702480376766</v>
      </c>
      <c r="M133" s="267">
        <v>100</v>
      </c>
      <c r="N133" s="341">
        <f ca="1" t="shared" si="19"/>
        <v>0.0181084638109736</v>
      </c>
      <c r="O133" s="269"/>
    </row>
    <row r="134" spans="4:30">
      <c r="D134" s="25">
        <f t="shared" si="10"/>
        <v>370</v>
      </c>
      <c r="E134" s="224">
        <f t="shared" si="11"/>
        <v>221</v>
      </c>
      <c r="F134" s="25">
        <f ca="1" t="shared" si="12"/>
        <v>2001050556</v>
      </c>
      <c r="G134" s="35">
        <f ca="1" t="shared" si="15"/>
        <v>1.06999999950977</v>
      </c>
      <c r="H134" s="389">
        <f t="shared" si="16"/>
        <v>37850</v>
      </c>
      <c r="I134" s="390">
        <f t="shared" si="17"/>
        <v>0.00313971742543171</v>
      </c>
      <c r="J134" s="35">
        <f ca="1" t="shared" si="13"/>
        <v>52867.9142932629</v>
      </c>
      <c r="K134" s="391">
        <f ca="1" t="shared" si="18"/>
        <v>0.0198711774551212</v>
      </c>
      <c r="L134" s="35">
        <f ca="1" t="shared" si="14"/>
        <v>142.883552143954</v>
      </c>
      <c r="M134" s="267">
        <v>100</v>
      </c>
      <c r="N134" s="341">
        <f ca="1" t="shared" si="19"/>
        <v>0.0198711774551212</v>
      </c>
      <c r="O134" s="269"/>
    </row>
    <row r="135" spans="4:30">
      <c r="D135" s="25">
        <f t="shared" si="10"/>
        <v>430</v>
      </c>
      <c r="E135" s="224">
        <f t="shared" si="11"/>
        <v>241</v>
      </c>
      <c r="F135" s="25">
        <f ca="1" t="shared" si="12"/>
        <v>7743434222</v>
      </c>
      <c r="G135" s="35">
        <f ca="1" t="shared" si="15"/>
        <v>1.06999999983969</v>
      </c>
      <c r="H135" s="389">
        <f t="shared" si="16"/>
        <v>43850</v>
      </c>
      <c r="I135" s="390">
        <f t="shared" si="17"/>
        <v>0.00264200792602378</v>
      </c>
      <c r="J135" s="35">
        <f ca="1" t="shared" si="13"/>
        <v>176589.149874572</v>
      </c>
      <c r="K135" s="391">
        <f ca="1" t="shared" si="18"/>
        <v>0.0203038622781009</v>
      </c>
      <c r="L135" s="35">
        <f ca="1" t="shared" si="14"/>
        <v>410.670115987378</v>
      </c>
      <c r="M135" s="267">
        <v>100</v>
      </c>
      <c r="N135" s="341">
        <f ca="1" t="shared" si="19"/>
        <v>0.0203038622781009</v>
      </c>
      <c r="O135" s="269"/>
    </row>
    <row r="136" spans="4:30">
      <c r="D136" s="25">
        <f t="shared" si="10"/>
        <v>520</v>
      </c>
      <c r="E136" s="224">
        <f t="shared" si="11"/>
        <v>271</v>
      </c>
      <c r="F136" s="25">
        <f ca="1" t="shared" si="12"/>
        <v>58944996165</v>
      </c>
      <c r="G136" s="35">
        <f ca="1" t="shared" si="15"/>
        <v>1.06999999997644</v>
      </c>
      <c r="H136" s="389">
        <f t="shared" si="16"/>
        <v>52850</v>
      </c>
      <c r="I136" s="390">
        <f t="shared" si="17"/>
        <v>0.00228050171037628</v>
      </c>
      <c r="J136" s="35">
        <f ca="1" t="shared" si="13"/>
        <v>1115326.32289499</v>
      </c>
      <c r="K136" s="391">
        <f ca="1" t="shared" si="18"/>
        <v>0.0206897531488393</v>
      </c>
      <c r="L136" s="35">
        <f ca="1" t="shared" si="14"/>
        <v>2144.85639018267</v>
      </c>
      <c r="M136" s="267">
        <v>100</v>
      </c>
      <c r="N136" s="341">
        <f ca="1" t="shared" si="19"/>
        <v>0.0206897531488393</v>
      </c>
      <c r="O136" s="269"/>
    </row>
    <row r="137" spans="4:30">
      <c r="D137" s="25">
        <f t="shared" si="10"/>
        <v>600</v>
      </c>
      <c r="E137" s="224">
        <f t="shared" si="11"/>
        <v>297</v>
      </c>
      <c r="F137" s="25">
        <f ca="1" t="shared" si="12"/>
        <v>342314395851</v>
      </c>
      <c r="G137" s="35">
        <f ca="1" t="shared" si="15"/>
        <v>1.06999999999545</v>
      </c>
      <c r="H137" s="389">
        <f t="shared" si="16"/>
        <v>60850</v>
      </c>
      <c r="I137" s="390">
        <f t="shared" si="17"/>
        <v>0.00189214758751182</v>
      </c>
      <c r="J137" s="35">
        <f ca="1" t="shared" si="13"/>
        <v>5625544.71406738</v>
      </c>
      <c r="K137" s="391">
        <f ca="1" t="shared" si="18"/>
        <v>0.0204330891780251</v>
      </c>
      <c r="L137" s="35">
        <f ca="1" t="shared" si="14"/>
        <v>9375.9061901123</v>
      </c>
      <c r="M137" s="267">
        <v>100</v>
      </c>
      <c r="N137" s="341">
        <f ca="1" t="shared" si="19"/>
        <v>0.0204330891780251</v>
      </c>
    </row>
    <row r="138" spans="4:30">
      <c r="D138" s="25">
        <v>680</v>
      </c>
      <c r="E138" s="224"/>
      <c r="F138" s="25"/>
      <c r="G138" s="35"/>
      <c r="H138" s="389">
        <f t="shared" si="16"/>
        <v>68850</v>
      </c>
      <c r="I138" s="390"/>
      <c r="J138" s="35"/>
      <c r="K138" s="391"/>
      <c r="L138" s="35"/>
      <c r="M138" s="267">
        <v>100</v>
      </c>
      <c r="N138" s="341"/>
    </row>
    <row r="139" spans="4:30">
      <c r="D139" s="386" t="s">
        <v>358</v>
      </c>
      <c r="E139" s="384"/>
      <c r="F139" s="384"/>
    </row>
    <row r="140" spans="4:30">
      <c r="D140" s="386"/>
      <c r="E140" s="384" t="s">
        <v>359</v>
      </c>
      <c r="F140" s="384"/>
    </row>
    <row r="141" spans="4:30">
      <c r="D141" s="386"/>
      <c r="E141" s="384"/>
      <c r="F141" s="80" t="s">
        <v>360</v>
      </c>
      <c r="W141" s="19" t="s">
        <v>361</v>
      </c>
      <c r="X141" s="19">
        <v>30</v>
      </c>
      <c r="Y141" s="19">
        <v>1000</v>
      </c>
      <c r="Z141" s="226">
        <v>0.8</v>
      </c>
      <c r="AA141" s="19">
        <v>800</v>
      </c>
      <c r="AC141" s="19">
        <v>8000</v>
      </c>
    </row>
    <row r="142" spans="4:30">
      <c r="E142" s="80" t="s">
        <v>362</v>
      </c>
      <c r="F142" s="384"/>
      <c r="W142" s="19" t="s">
        <v>363</v>
      </c>
      <c r="X142" s="19">
        <v>3</v>
      </c>
      <c r="Y142" s="19">
        <v>1000</v>
      </c>
      <c r="Z142" s="226">
        <v>0.5</v>
      </c>
      <c r="AA142" s="19">
        <v>500</v>
      </c>
      <c r="AB142" s="19">
        <v>10</v>
      </c>
      <c r="AC142" s="19">
        <v>5000</v>
      </c>
    </row>
    <row r="143" spans="4:30">
      <c r="E143" s="384"/>
      <c r="F143" s="80" t="s">
        <v>364</v>
      </c>
      <c r="AC143" s="19">
        <v>500</v>
      </c>
      <c r="AD143" s="19">
        <v>8</v>
      </c>
    </row>
    <row r="144" spans="4:30">
      <c r="E144" s="384"/>
      <c r="F144" s="80" t="s">
        <v>365</v>
      </c>
      <c r="G144" s="80"/>
    </row>
    <row r="145" spans="1:29">
      <c r="E145" s="384"/>
      <c r="AC145" s="19">
        <v>600</v>
      </c>
    </row>
    <row r="146" spans="1:29">
      <c r="E146" s="384"/>
      <c r="F146" s="384"/>
      <c r="Q146" s="80" t="s">
        <v>366</v>
      </c>
    </row>
    <row r="147" spans="1:29">
      <c r="B147" s="393"/>
      <c r="E147" s="384"/>
      <c r="F147" s="19" t="s">
        <v>367</v>
      </c>
      <c r="H147" s="226"/>
      <c r="I147" s="226"/>
      <c r="J147" s="226"/>
      <c r="K147" s="226"/>
      <c r="Q147" s="80" t="s">
        <v>368</v>
      </c>
      <c r="Y147" s="80"/>
    </row>
    <row r="148" spans="1:29">
      <c r="D148" s="348" t="s">
        <v>296</v>
      </c>
      <c r="E148" s="348" t="s">
        <v>297</v>
      </c>
      <c r="F148" s="388" t="s">
        <v>234</v>
      </c>
      <c r="G148" s="388" t="s">
        <v>314</v>
      </c>
      <c r="H148" s="388" t="s">
        <v>369</v>
      </c>
      <c r="I148" s="348" t="s">
        <v>313</v>
      </c>
      <c r="J148" s="348" t="s">
        <v>370</v>
      </c>
      <c r="K148" s="348" t="s">
        <v>371</v>
      </c>
      <c r="L148" s="388" t="s">
        <v>372</v>
      </c>
      <c r="M148" s="388" t="s">
        <v>373</v>
      </c>
      <c r="N148" s="348" t="s">
        <v>374</v>
      </c>
      <c r="O148" s="348" t="s">
        <v>375</v>
      </c>
      <c r="P148" s="348" t="s">
        <v>376</v>
      </c>
      <c r="Q148" s="388" t="s">
        <v>377</v>
      </c>
      <c r="R148" s="388" t="s">
        <v>378</v>
      </c>
      <c r="S148" s="388" t="s">
        <v>306</v>
      </c>
      <c r="T148" s="388" t="s">
        <v>379</v>
      </c>
      <c r="U148" s="388" t="s">
        <v>380</v>
      </c>
      <c r="V148" s="388" t="s">
        <v>381</v>
      </c>
      <c r="W148" s="394" t="s">
        <v>287</v>
      </c>
      <c r="X148" s="394" t="s">
        <v>260</v>
      </c>
      <c r="Y148" s="394" t="s">
        <v>305</v>
      </c>
      <c r="Z148" s="394" t="s">
        <v>382</v>
      </c>
    </row>
    <row r="149" spans="1:29">
      <c r="A149" s="395"/>
      <c r="D149" s="25">
        <f t="shared" ref="D149:D181" si="20">D105</f>
        <v>1</v>
      </c>
      <c r="E149" s="25">
        <f t="shared" ref="E149:E181" si="21">E64</f>
        <v>10</v>
      </c>
      <c r="F149" s="396">
        <f t="shared" ref="F149:F181" si="22">H105</f>
        <v>600</v>
      </c>
      <c r="G149" s="397" t="str">
        <f t="shared" ref="G149:G181" si="23">V64</f>
        <v>蓝</v>
      </c>
      <c r="H149" s="398">
        <f t="shared" ref="H149:H181" si="24">M149/F149</f>
        <v>0.45</v>
      </c>
      <c r="I149" s="399">
        <f t="shared" ref="I149:I181" si="25">N149/F149</f>
        <v>0.3</v>
      </c>
      <c r="J149" s="400">
        <f t="shared" ref="J149:J181" si="26">O149/F149</f>
        <v>0.15</v>
      </c>
      <c r="K149" s="399">
        <f t="shared" ref="K149:K181" si="27">V186/F149</f>
        <v>0.12</v>
      </c>
      <c r="L149" s="401">
        <f t="shared" ref="L149:L181" si="28">SUM(H149:K149)</f>
        <v>1.02</v>
      </c>
      <c r="M149" s="396">
        <f t="shared" ref="M149:M181" si="29">H186*6</f>
        <v>270</v>
      </c>
      <c r="N149" s="396" cm="1">
        <f t="array" ref="N149">SUMPRODUCT($E$186:E186,$F$186:F186)*6</f>
        <v>180</v>
      </c>
      <c r="O149" s="396">
        <v>90</v>
      </c>
      <c r="P149" s="396">
        <f t="shared" ref="P149:P181" si="30">F149*K149</f>
        <v>72</v>
      </c>
      <c r="Q149" s="398">
        <f t="shared" ref="Q149:Q181" si="31">H149+I149+K149+J149</f>
        <v>1.02</v>
      </c>
      <c r="R149" s="402">
        <f ca="1" t="shared" ref="R149:R181" si="32">J105</f>
        <v>1.22333333333333</v>
      </c>
      <c r="S149" s="403">
        <f t="shared" ref="S149:S181" si="33">N64</f>
        <v>1</v>
      </c>
      <c r="T149" s="404">
        <f t="shared" ref="T149:T181" si="34">S149/U149</f>
        <v>1</v>
      </c>
      <c r="U149" s="404">
        <v>1</v>
      </c>
      <c r="V149" s="405">
        <f t="shared" ref="V149:V181" si="35">G64</f>
        <v>0</v>
      </c>
      <c r="W149" s="404">
        <v>1.38</v>
      </c>
      <c r="X149" s="404">
        <f t="shared" ref="X149:X181" si="36">Q64</f>
        <v>1.3</v>
      </c>
      <c r="Y149" s="406" t="str">
        <f>M64</f>
        <v>绿</v>
      </c>
      <c r="Z149" s="404">
        <f>MAX((X149^(1/INT(L64/6))-1)/5,MAX($Z$148:Z148))</f>
        <v>0.0280350850198276</v>
      </c>
    </row>
    <row r="150" spans="1:29">
      <c r="A150" s="395"/>
      <c r="D150" s="25">
        <f t="shared" si="20"/>
        <v>2</v>
      </c>
      <c r="E150" s="25">
        <f t="shared" si="21"/>
        <v>15</v>
      </c>
      <c r="F150" s="396">
        <f t="shared" si="22"/>
        <v>800</v>
      </c>
      <c r="G150" s="397" t="str">
        <f t="shared" si="23"/>
        <v>紫</v>
      </c>
      <c r="H150" s="398">
        <f t="shared" si="24"/>
        <v>0.46575</v>
      </c>
      <c r="I150" s="399">
        <f t="shared" si="25"/>
        <v>0.405</v>
      </c>
      <c r="J150" s="400">
        <f t="shared" si="26"/>
        <v>0.135</v>
      </c>
      <c r="K150" s="399">
        <f t="shared" si="27"/>
        <v>0.135</v>
      </c>
      <c r="L150" s="401">
        <f t="shared" si="28"/>
        <v>1.14075</v>
      </c>
      <c r="M150" s="396">
        <f t="shared" si="29"/>
        <v>372.6</v>
      </c>
      <c r="N150" s="396" cm="1">
        <f t="array" ref="N150">SUMPRODUCT($E$186:E187,$F$186:F187)*6</f>
        <v>324</v>
      </c>
      <c r="O150" s="396">
        <v>108</v>
      </c>
      <c r="P150" s="396">
        <f t="shared" si="30"/>
        <v>108</v>
      </c>
      <c r="Q150" s="398">
        <f t="shared" si="31"/>
        <v>1.14075</v>
      </c>
      <c r="R150" s="402">
        <f ca="1" t="shared" si="32"/>
        <v>1.685</v>
      </c>
      <c r="S150" s="403">
        <f t="shared" si="33"/>
        <v>1.07</v>
      </c>
      <c r="T150" s="404">
        <f t="shared" si="34"/>
        <v>1.01904761904762</v>
      </c>
      <c r="U150" s="404">
        <v>1.05</v>
      </c>
      <c r="V150" s="405" t="str">
        <f t="shared" si="35"/>
        <v>橙卡1</v>
      </c>
      <c r="W150" s="404">
        <v>1.476025</v>
      </c>
      <c r="X150" s="404">
        <f t="shared" si="36"/>
        <v>1.3</v>
      </c>
      <c r="Y150" s="404"/>
      <c r="Z150" s="404">
        <f>MAX((X150^(1/INT(L65/6))-1)/5,MAX($Z$148:Z149))</f>
        <v>0.0280350850198276</v>
      </c>
    </row>
    <row r="151" spans="1:29">
      <c r="A151" s="395"/>
      <c r="D151" s="25">
        <f t="shared" si="20"/>
        <v>3</v>
      </c>
      <c r="E151" s="25">
        <f t="shared" si="21"/>
        <v>20</v>
      </c>
      <c r="F151" s="396">
        <f t="shared" si="22"/>
        <v>1000</v>
      </c>
      <c r="G151" s="397" t="str">
        <f t="shared" si="23"/>
        <v>橙</v>
      </c>
      <c r="H151" s="398">
        <f t="shared" si="24"/>
        <v>0.5148</v>
      </c>
      <c r="I151" s="399">
        <f t="shared" si="25"/>
        <v>0.42</v>
      </c>
      <c r="J151" s="400">
        <f t="shared" si="26"/>
        <v>0.144</v>
      </c>
      <c r="K151" s="399">
        <f t="shared" si="27"/>
        <v>0.176</v>
      </c>
      <c r="L151" s="401">
        <f t="shared" si="28"/>
        <v>1.2548</v>
      </c>
      <c r="M151" s="396">
        <f t="shared" si="29"/>
        <v>514.8</v>
      </c>
      <c r="N151" s="396" cm="1">
        <f t="array" ref="N151">SUMPRODUCT($E$186:E188,$F$186:F188)*6</f>
        <v>420</v>
      </c>
      <c r="O151" s="396">
        <v>144</v>
      </c>
      <c r="P151" s="396">
        <f t="shared" si="30"/>
        <v>176</v>
      </c>
      <c r="Q151" s="398">
        <f t="shared" si="31"/>
        <v>1.2548</v>
      </c>
      <c r="R151" s="402">
        <f ca="1" t="shared" si="32"/>
        <v>2.169</v>
      </c>
      <c r="S151" s="403">
        <f t="shared" si="33"/>
        <v>1.14</v>
      </c>
      <c r="T151" s="404">
        <f t="shared" si="34"/>
        <v>1.03636363636364</v>
      </c>
      <c r="U151" s="404">
        <f>U150+5%</f>
        <v>1.1</v>
      </c>
      <c r="V151" s="405" t="str">
        <f t="shared" si="35"/>
        <v>橙卡2</v>
      </c>
      <c r="W151" s="404">
        <v>1.674</v>
      </c>
      <c r="X151" s="404">
        <f ca="1" t="shared" si="36"/>
        <v>1.3</v>
      </c>
      <c r="Y151" s="406" t="str">
        <f>M66</f>
        <v>蓝</v>
      </c>
      <c r="Z151" s="404">
        <f ca="1">MAX((X151^(1/INT(L66/6))-1)/5,MAX($Z$148:Z150))</f>
        <v>0.0280350850198276</v>
      </c>
    </row>
    <row r="152" spans="1:29">
      <c r="A152" s="395"/>
      <c r="D152" s="25">
        <f t="shared" si="20"/>
        <v>4</v>
      </c>
      <c r="E152" s="25">
        <f t="shared" si="21"/>
        <v>24</v>
      </c>
      <c r="F152" s="396">
        <f t="shared" si="22"/>
        <v>1150</v>
      </c>
      <c r="G152" s="397" t="str">
        <f t="shared" si="23"/>
        <v>橙</v>
      </c>
      <c r="H152" s="398">
        <f t="shared" si="24"/>
        <v>0.447652173913043</v>
      </c>
      <c r="I152" s="399">
        <f t="shared" si="25"/>
        <v>0.469565217391304</v>
      </c>
      <c r="J152" s="400">
        <f t="shared" si="26"/>
        <v>0.151304347826087</v>
      </c>
      <c r="K152" s="399">
        <f t="shared" si="27"/>
        <v>0.16695652173913</v>
      </c>
      <c r="L152" s="401">
        <f t="shared" si="28"/>
        <v>1.23547826086956</v>
      </c>
      <c r="M152" s="396">
        <f t="shared" si="29"/>
        <v>514.8</v>
      </c>
      <c r="N152" s="396" cm="1">
        <f t="array" ref="N152">SUMPRODUCT($E$186:E189,$F$186:F189)*6</f>
        <v>540</v>
      </c>
      <c r="O152" s="396">
        <v>174</v>
      </c>
      <c r="P152" s="396">
        <f t="shared" si="30"/>
        <v>192</v>
      </c>
      <c r="Q152" s="398">
        <f t="shared" si="31"/>
        <v>1.23547826086956</v>
      </c>
      <c r="R152" s="402">
        <f ca="1" t="shared" si="32"/>
        <v>2.75913043478261</v>
      </c>
      <c r="S152" s="403">
        <f t="shared" si="33"/>
        <v>1.21</v>
      </c>
      <c r="T152" s="404">
        <f t="shared" si="34"/>
        <v>1.05217391304348</v>
      </c>
      <c r="U152" s="404">
        <f>U151+5%</f>
        <v>1.15</v>
      </c>
      <c r="V152" s="405" t="str">
        <f t="shared" si="35"/>
        <v>橙卡3</v>
      </c>
      <c r="W152" s="404">
        <v>1.734798</v>
      </c>
      <c r="X152" s="404">
        <f ca="1" t="shared" si="36"/>
        <v>1.31443147075175</v>
      </c>
      <c r="Y152" s="404"/>
      <c r="Z152" s="404">
        <f ca="1">MAX((X152^(1/INT(L67/6))-1)/5,MAX($Z$148:Z151))</f>
        <v>0.0280350850198276</v>
      </c>
    </row>
    <row r="153" spans="1:29">
      <c r="A153" s="395"/>
      <c r="D153" s="25">
        <f t="shared" si="20"/>
        <v>5</v>
      </c>
      <c r="E153" s="25">
        <f t="shared" si="21"/>
        <v>27</v>
      </c>
      <c r="F153" s="396">
        <f t="shared" si="22"/>
        <v>1300</v>
      </c>
      <c r="G153" s="397" t="str">
        <f t="shared" si="23"/>
        <v>橙</v>
      </c>
      <c r="H153" s="398">
        <f t="shared" si="24"/>
        <v>0.396</v>
      </c>
      <c r="I153" s="399">
        <f t="shared" si="25"/>
        <v>0.484615384615385</v>
      </c>
      <c r="J153" s="400">
        <f t="shared" si="26"/>
        <v>0.18</v>
      </c>
      <c r="K153" s="399">
        <f t="shared" si="27"/>
        <v>0.16</v>
      </c>
      <c r="L153" s="401">
        <f t="shared" si="28"/>
        <v>1.22061538461538</v>
      </c>
      <c r="M153" s="396">
        <f t="shared" si="29"/>
        <v>514.8</v>
      </c>
      <c r="N153" s="396" cm="1">
        <f t="array" ref="N153">SUMPRODUCT($E$186:E190,$F$186:F190)*6</f>
        <v>630</v>
      </c>
      <c r="O153" s="396">
        <v>234</v>
      </c>
      <c r="P153" s="396">
        <f t="shared" si="30"/>
        <v>208</v>
      </c>
      <c r="Q153" s="398">
        <f t="shared" si="31"/>
        <v>1.22061538461538</v>
      </c>
      <c r="R153" s="402">
        <f ca="1" t="shared" si="32"/>
        <v>3.07307692307692</v>
      </c>
      <c r="S153" s="403">
        <f t="shared" si="33"/>
        <v>1.28</v>
      </c>
      <c r="T153" s="404">
        <f t="shared" si="34"/>
        <v>1.06666666666667</v>
      </c>
      <c r="U153" s="404">
        <f>U152+5%</f>
        <v>1.2</v>
      </c>
      <c r="V153" s="405" t="str">
        <f t="shared" si="35"/>
        <v>橙卡4</v>
      </c>
      <c r="W153" s="404">
        <v>1.776658</v>
      </c>
      <c r="X153" s="404">
        <f ca="1" t="shared" si="36"/>
        <v>1.35132442268228</v>
      </c>
      <c r="Y153" s="406">
        <f t="shared" ref="Y153:Y162" si="37">M68</f>
        <v>0</v>
      </c>
      <c r="Z153" s="404">
        <f ca="1">MAX((X153^(1/INT(L68/6))-1)/5,MAX($Z$148:Z152))</f>
        <v>0.0280350850198276</v>
      </c>
    </row>
    <row r="154" spans="1:29">
      <c r="A154" s="407"/>
      <c r="D154" s="25">
        <f t="shared" si="20"/>
        <v>6</v>
      </c>
      <c r="E154" s="25">
        <f t="shared" si="21"/>
        <v>30</v>
      </c>
      <c r="F154" s="396">
        <f t="shared" si="22"/>
        <v>1450</v>
      </c>
      <c r="G154" s="397" t="str">
        <f t="shared" si="23"/>
        <v>橙</v>
      </c>
      <c r="H154" s="398">
        <f t="shared" si="24"/>
        <v>0.407931034482759</v>
      </c>
      <c r="I154" s="399">
        <f t="shared" si="25"/>
        <v>0.521379310344828</v>
      </c>
      <c r="J154" s="400">
        <f t="shared" si="26"/>
        <v>0.16551724137931</v>
      </c>
      <c r="K154" s="399">
        <f t="shared" si="27"/>
        <v>0.15448275862069</v>
      </c>
      <c r="L154" s="401">
        <f t="shared" si="28"/>
        <v>1.24931034482759</v>
      </c>
      <c r="M154" s="396">
        <f t="shared" si="29"/>
        <v>591.5</v>
      </c>
      <c r="N154" s="396" cm="1">
        <f t="array" ref="N154">SUMPRODUCT($E$186:E191,$F$186:F191)*6</f>
        <v>756</v>
      </c>
      <c r="O154" s="396">
        <v>240</v>
      </c>
      <c r="P154" s="396">
        <f t="shared" si="30"/>
        <v>224</v>
      </c>
      <c r="Q154" s="398">
        <f t="shared" si="31"/>
        <v>1.24931034482759</v>
      </c>
      <c r="R154" s="402">
        <f ca="1" t="shared" si="32"/>
        <v>3.37448275862069</v>
      </c>
      <c r="S154" s="403">
        <f t="shared" si="33"/>
        <v>1.35</v>
      </c>
      <c r="T154" s="404">
        <f t="shared" si="34"/>
        <v>1.08</v>
      </c>
      <c r="U154" s="404">
        <f>U153+5%</f>
        <v>1.25</v>
      </c>
      <c r="V154" s="405" t="str">
        <f t="shared" si="35"/>
        <v>橙卡5</v>
      </c>
      <c r="W154" s="404">
        <v>1.818518</v>
      </c>
      <c r="X154" s="404">
        <f ca="1" t="shared" si="36"/>
        <v>1.37453512048687</v>
      </c>
      <c r="Y154" s="406">
        <f t="shared" si="37"/>
        <v>0</v>
      </c>
      <c r="Z154" s="404">
        <f ca="1">MAX((X154^(1/INT(L69/6))-1)/5,MAX($Z$148:Z153))</f>
        <v>0.0280350850198276</v>
      </c>
    </row>
    <row r="155" spans="1:29">
      <c r="A155" s="407"/>
      <c r="D155" s="25">
        <f t="shared" si="20"/>
        <v>7</v>
      </c>
      <c r="E155" s="25">
        <f t="shared" si="21"/>
        <v>33</v>
      </c>
      <c r="F155" s="396">
        <f t="shared" si="22"/>
        <v>1550</v>
      </c>
      <c r="G155" s="397" t="str">
        <f t="shared" si="23"/>
        <v>橙</v>
      </c>
      <c r="H155" s="398">
        <f t="shared" si="24"/>
        <v>0.381612903225806</v>
      </c>
      <c r="I155" s="399">
        <f t="shared" si="25"/>
        <v>0.541935483870968</v>
      </c>
      <c r="J155" s="400">
        <f t="shared" si="26"/>
        <v>0.185806451612903</v>
      </c>
      <c r="K155" s="399">
        <f t="shared" si="27"/>
        <v>0.154838709677419</v>
      </c>
      <c r="L155" s="401">
        <f t="shared" si="28"/>
        <v>1.2641935483871</v>
      </c>
      <c r="M155" s="396">
        <f t="shared" si="29"/>
        <v>591.5</v>
      </c>
      <c r="N155" s="396" cm="1">
        <f t="array" ref="N155">SUMPRODUCT($E$186:E192,$F$186:F192)*6</f>
        <v>840</v>
      </c>
      <c r="O155" s="396">
        <v>288</v>
      </c>
      <c r="P155" s="396">
        <f t="shared" si="30"/>
        <v>240</v>
      </c>
      <c r="Q155" s="398">
        <f t="shared" si="31"/>
        <v>1.2641935483871</v>
      </c>
      <c r="R155" s="402">
        <f ca="1" t="shared" si="32"/>
        <v>3.86645161290323</v>
      </c>
      <c r="S155" s="403">
        <f t="shared" si="33"/>
        <v>1.4</v>
      </c>
      <c r="T155" s="404">
        <f t="shared" si="34"/>
        <v>1.09375</v>
      </c>
      <c r="U155" s="404">
        <f t="shared" ref="U155:U161" si="38">U154+3%</f>
        <v>1.28</v>
      </c>
      <c r="V155" s="405" t="str">
        <f t="shared" si="35"/>
        <v>橙卡6</v>
      </c>
      <c r="W155" s="404">
        <v>1.860378</v>
      </c>
      <c r="X155" s="404">
        <f ca="1" t="shared" si="36"/>
        <v>1.4845107564558</v>
      </c>
      <c r="Y155" s="406">
        <f t="shared" si="37"/>
        <v>0</v>
      </c>
      <c r="Z155" s="404">
        <f ca="1">MAX((X155^(1/INT(L70/6))-1)/5,MAX($Z$148:Z154))</f>
        <v>0.0280350850198276</v>
      </c>
    </row>
    <row r="156" spans="1:29">
      <c r="A156" s="408"/>
      <c r="D156" s="25">
        <f t="shared" si="20"/>
        <v>8</v>
      </c>
      <c r="E156" s="25">
        <f t="shared" si="21"/>
        <v>35</v>
      </c>
      <c r="F156" s="396">
        <f t="shared" si="22"/>
        <v>1650</v>
      </c>
      <c r="G156" s="397" t="str">
        <f t="shared" si="23"/>
        <v>红</v>
      </c>
      <c r="H156" s="398">
        <f t="shared" si="24"/>
        <v>0.441212121212121</v>
      </c>
      <c r="I156" s="399">
        <f t="shared" si="25"/>
        <v>0.56</v>
      </c>
      <c r="J156" s="400">
        <f t="shared" si="26"/>
        <v>0.218181818181818</v>
      </c>
      <c r="K156" s="399">
        <f t="shared" si="27"/>
        <v>0.145454545454545</v>
      </c>
      <c r="L156" s="401">
        <f t="shared" si="28"/>
        <v>1.36484848484848</v>
      </c>
      <c r="M156" s="396">
        <f t="shared" si="29"/>
        <v>728</v>
      </c>
      <c r="N156" s="396" cm="1">
        <f t="array" ref="N156">SUMPRODUCT($E$186:E193,$F$186:F193)*6</f>
        <v>924</v>
      </c>
      <c r="O156" s="396">
        <v>360</v>
      </c>
      <c r="P156" s="396">
        <f t="shared" si="30"/>
        <v>240</v>
      </c>
      <c r="Q156" s="398">
        <f t="shared" si="31"/>
        <v>1.36484848484848</v>
      </c>
      <c r="R156" s="402">
        <f ca="1" t="shared" si="32"/>
        <v>4.15757575757576</v>
      </c>
      <c r="S156" s="403">
        <f t="shared" si="33"/>
        <v>1.45</v>
      </c>
      <c r="T156" s="404">
        <f t="shared" si="34"/>
        <v>1.10687022900763</v>
      </c>
      <c r="U156" s="404">
        <f t="shared" si="38"/>
        <v>1.31</v>
      </c>
      <c r="V156" s="405" t="str">
        <f t="shared" si="35"/>
        <v>红卡1</v>
      </c>
      <c r="W156" s="404">
        <v>1.902238</v>
      </c>
      <c r="X156" s="404">
        <f ca="1" t="shared" si="36"/>
        <v>1.5073264364997</v>
      </c>
      <c r="Y156" s="406">
        <f t="shared" si="37"/>
        <v>0</v>
      </c>
      <c r="Z156" s="404">
        <f ca="1">MAX((X156^(1/INT(L71/6))-1)/5,MAX($Z$148:Z155))</f>
        <v>0.0280350850198276</v>
      </c>
    </row>
    <row r="157" spans="1:29">
      <c r="A157" s="395"/>
      <c r="D157" s="25">
        <f t="shared" si="20"/>
        <v>9</v>
      </c>
      <c r="E157" s="25">
        <f t="shared" si="21"/>
        <v>37</v>
      </c>
      <c r="F157" s="396">
        <f t="shared" si="22"/>
        <v>1750</v>
      </c>
      <c r="G157" s="397" t="str">
        <f t="shared" si="23"/>
        <v>红</v>
      </c>
      <c r="H157" s="398">
        <f t="shared" si="24"/>
        <v>0.416</v>
      </c>
      <c r="I157" s="399">
        <f t="shared" si="25"/>
        <v>0.576</v>
      </c>
      <c r="J157" s="400">
        <f t="shared" si="26"/>
        <v>0.24</v>
      </c>
      <c r="K157" s="399">
        <f t="shared" si="27"/>
        <v>0.137142857142857</v>
      </c>
      <c r="L157" s="401">
        <f t="shared" si="28"/>
        <v>1.36914285714286</v>
      </c>
      <c r="M157" s="396">
        <f t="shared" si="29"/>
        <v>728</v>
      </c>
      <c r="N157" s="396" cm="1">
        <f t="array" ref="N157">SUMPRODUCT($E$186:E194,$F$186:F194)*6</f>
        <v>1008</v>
      </c>
      <c r="O157" s="396">
        <v>420</v>
      </c>
      <c r="P157" s="396">
        <f t="shared" si="30"/>
        <v>240</v>
      </c>
      <c r="Q157" s="398">
        <f t="shared" si="31"/>
        <v>1.36914285714286</v>
      </c>
      <c r="R157" s="402">
        <f ca="1" t="shared" si="32"/>
        <v>4.48742857142857</v>
      </c>
      <c r="S157" s="403">
        <f t="shared" si="33"/>
        <v>1.5</v>
      </c>
      <c r="T157" s="404">
        <f t="shared" si="34"/>
        <v>1.11940298507463</v>
      </c>
      <c r="U157" s="404">
        <f t="shared" si="38"/>
        <v>1.34</v>
      </c>
      <c r="V157" s="405">
        <f t="shared" si="35"/>
        <v>0</v>
      </c>
      <c r="W157" s="404">
        <v>1.944098</v>
      </c>
      <c r="X157" s="404">
        <f ca="1" t="shared" si="36"/>
        <v>1.53882111273148</v>
      </c>
      <c r="Y157" s="406">
        <f t="shared" si="37"/>
        <v>0</v>
      </c>
      <c r="Z157" s="404">
        <f ca="1">MAX((X157^(1/INT(L72/6))-1)/5,MAX($Z$148:Z156))</f>
        <v>0.0280350850198276</v>
      </c>
    </row>
    <row r="158" spans="1:29">
      <c r="A158" s="395"/>
      <c r="D158" s="25">
        <f t="shared" si="20"/>
        <v>10</v>
      </c>
      <c r="E158" s="25">
        <f t="shared" si="21"/>
        <v>39</v>
      </c>
      <c r="F158" s="396">
        <f t="shared" si="22"/>
        <v>1850</v>
      </c>
      <c r="G158" s="397" t="str">
        <f t="shared" si="23"/>
        <v>红</v>
      </c>
      <c r="H158" s="398">
        <f t="shared" si="24"/>
        <v>0.393513513513513</v>
      </c>
      <c r="I158" s="399">
        <f t="shared" si="25"/>
        <v>0.59027027027027</v>
      </c>
      <c r="J158" s="400">
        <f t="shared" si="26"/>
        <v>0.262702702702703</v>
      </c>
      <c r="K158" s="399">
        <f t="shared" si="27"/>
        <v>0.12972972972973</v>
      </c>
      <c r="L158" s="401">
        <f t="shared" si="28"/>
        <v>1.37621621621622</v>
      </c>
      <c r="M158" s="396">
        <f t="shared" si="29"/>
        <v>728</v>
      </c>
      <c r="N158" s="396" cm="1">
        <f t="array" ref="N158">SUMPRODUCT($E$186:E195,$F$186:F195)*6</f>
        <v>1092</v>
      </c>
      <c r="O158" s="396">
        <v>486</v>
      </c>
      <c r="P158" s="396">
        <f t="shared" si="30"/>
        <v>240</v>
      </c>
      <c r="Q158" s="398">
        <f t="shared" si="31"/>
        <v>1.37621621621622</v>
      </c>
      <c r="R158" s="402">
        <f ca="1" t="shared" si="32"/>
        <v>4.85945945945946</v>
      </c>
      <c r="S158" s="403">
        <f t="shared" si="33"/>
        <v>1.55</v>
      </c>
      <c r="T158" s="404">
        <f t="shared" si="34"/>
        <v>1.13138686131387</v>
      </c>
      <c r="U158" s="404">
        <f t="shared" si="38"/>
        <v>1.37</v>
      </c>
      <c r="V158" s="405" t="e">
        <f>#REF!</f>
        <v>#REF!</v>
      </c>
      <c r="W158" s="404">
        <v>1.985958</v>
      </c>
      <c r="X158" s="404">
        <f ca="1" t="shared" si="36"/>
        <v>1.57865127819175</v>
      </c>
      <c r="Y158" s="406">
        <f t="shared" si="37"/>
        <v>0</v>
      </c>
      <c r="Z158" s="404">
        <f ca="1">MAX((X158^(1/INT(L73/6))-1)/5,MAX($Z$148:Z157))</f>
        <v>0.0280350850198276</v>
      </c>
    </row>
    <row r="159" spans="1:29">
      <c r="A159" s="395"/>
      <c r="D159" s="25">
        <f t="shared" si="20"/>
        <v>11</v>
      </c>
      <c r="E159" s="25">
        <f t="shared" si="21"/>
        <v>41</v>
      </c>
      <c r="F159" s="396">
        <f t="shared" si="22"/>
        <v>1950</v>
      </c>
      <c r="G159" s="397" t="str">
        <f t="shared" si="23"/>
        <v>红</v>
      </c>
      <c r="H159" s="398">
        <f t="shared" si="24"/>
        <v>0.429128205128205</v>
      </c>
      <c r="I159" s="399">
        <f t="shared" si="25"/>
        <v>0.609230769230769</v>
      </c>
      <c r="J159" s="400">
        <f t="shared" si="26"/>
        <v>0.286153846153846</v>
      </c>
      <c r="K159" s="399">
        <f t="shared" si="27"/>
        <v>0.123076923076923</v>
      </c>
      <c r="L159" s="401">
        <f t="shared" si="28"/>
        <v>1.44758974358974</v>
      </c>
      <c r="M159" s="396">
        <f t="shared" si="29"/>
        <v>836.8</v>
      </c>
      <c r="N159" s="396" cm="1">
        <f t="array" ref="N159">SUMPRODUCT($E$186:E196,$F$186:F196)*6</f>
        <v>1188</v>
      </c>
      <c r="O159" s="396">
        <v>558</v>
      </c>
      <c r="P159" s="396">
        <f t="shared" si="30"/>
        <v>240</v>
      </c>
      <c r="Q159" s="398">
        <f t="shared" si="31"/>
        <v>1.44758974358974</v>
      </c>
      <c r="R159" s="402">
        <f ca="1" t="shared" si="32"/>
        <v>5.27794871794872</v>
      </c>
      <c r="S159" s="403">
        <f t="shared" si="33"/>
        <v>1.6</v>
      </c>
      <c r="T159" s="404">
        <f t="shared" si="34"/>
        <v>1.14285714285714</v>
      </c>
      <c r="U159" s="404">
        <f t="shared" si="38"/>
        <v>1.4</v>
      </c>
      <c r="V159" s="405">
        <f t="shared" si="35"/>
        <v>0</v>
      </c>
      <c r="W159" s="404">
        <v>2.027818</v>
      </c>
      <c r="X159" s="404">
        <f ca="1" t="shared" si="36"/>
        <v>1.62673274855926</v>
      </c>
      <c r="Y159" s="406">
        <f t="shared" si="37"/>
        <v>0</v>
      </c>
      <c r="Z159" s="404">
        <f ca="1">MAX((X159^(1/INT(L74/6))-1)/5,MAX($Z$148:Z158))</f>
        <v>0.0280350850198276</v>
      </c>
    </row>
    <row r="160" spans="1:29">
      <c r="A160" s="395"/>
      <c r="D160" s="25">
        <f t="shared" si="20"/>
        <v>12</v>
      </c>
      <c r="E160" s="25">
        <f t="shared" si="21"/>
        <v>43</v>
      </c>
      <c r="F160" s="396">
        <f t="shared" si="22"/>
        <v>2050</v>
      </c>
      <c r="G160" s="397" t="str">
        <f t="shared" si="23"/>
        <v>红</v>
      </c>
      <c r="H160" s="398">
        <f t="shared" si="24"/>
        <v>0.408195121951219</v>
      </c>
      <c r="I160" s="399">
        <f t="shared" si="25"/>
        <v>0.626341463414634</v>
      </c>
      <c r="J160" s="400">
        <f t="shared" si="26"/>
        <v>0.386341463414634</v>
      </c>
      <c r="K160" s="399">
        <f t="shared" si="27"/>
        <v>0.117073170731707</v>
      </c>
      <c r="L160" s="401">
        <f t="shared" si="28"/>
        <v>1.53795121951219</v>
      </c>
      <c r="M160" s="396">
        <f t="shared" si="29"/>
        <v>836.8</v>
      </c>
      <c r="N160" s="396" cm="1">
        <f t="array" ref="N160">SUMPRODUCT($E$186:E197,$F$186:F197)*6</f>
        <v>1284</v>
      </c>
      <c r="O160" s="396">
        <v>792</v>
      </c>
      <c r="P160" s="396">
        <f t="shared" si="30"/>
        <v>240</v>
      </c>
      <c r="Q160" s="398">
        <f t="shared" si="31"/>
        <v>1.53795121951219</v>
      </c>
      <c r="R160" s="402">
        <f ca="1" t="shared" si="32"/>
        <v>5.74731707317073</v>
      </c>
      <c r="S160" s="403">
        <f t="shared" si="33"/>
        <v>1.65</v>
      </c>
      <c r="T160" s="404">
        <f t="shared" si="34"/>
        <v>1.15384615384615</v>
      </c>
      <c r="U160" s="404">
        <f t="shared" si="38"/>
        <v>1.43</v>
      </c>
      <c r="V160" s="405" t="e">
        <f>#REF!</f>
        <v>#REF!</v>
      </c>
      <c r="W160" s="404">
        <v>2.149281</v>
      </c>
      <c r="X160" s="404">
        <f ca="1" t="shared" si="36"/>
        <v>1.62673274855926</v>
      </c>
      <c r="Y160" s="406">
        <f t="shared" si="37"/>
        <v>0</v>
      </c>
      <c r="Z160" s="404">
        <f ca="1">MAX((X160^(1/INT(L75/6))-1)/5,MAX($Z$148:Z159))</f>
        <v>0.0280350850198276</v>
      </c>
    </row>
    <row r="161" spans="1:26">
      <c r="A161" s="395"/>
      <c r="D161" s="25">
        <f t="shared" si="20"/>
        <v>13</v>
      </c>
      <c r="E161" s="25">
        <f t="shared" si="21"/>
        <v>45</v>
      </c>
      <c r="F161" s="396">
        <f t="shared" si="22"/>
        <v>2150</v>
      </c>
      <c r="G161" s="397" t="str">
        <f t="shared" si="23"/>
        <v>红</v>
      </c>
      <c r="H161" s="398">
        <f t="shared" si="24"/>
        <v>0.389209302325581</v>
      </c>
      <c r="I161" s="399">
        <f t="shared" si="25"/>
        <v>0.641860465116279</v>
      </c>
      <c r="J161" s="400">
        <f t="shared" si="26"/>
        <v>0.46046511627907</v>
      </c>
      <c r="K161" s="399">
        <f t="shared" si="27"/>
        <v>0.111627906976744</v>
      </c>
      <c r="L161" s="401">
        <f t="shared" si="28"/>
        <v>1.60316279069767</v>
      </c>
      <c r="M161" s="396">
        <f t="shared" si="29"/>
        <v>836.8</v>
      </c>
      <c r="N161" s="396" cm="1">
        <f t="array" ref="N161">SUMPRODUCT($E$186:E198,$F$186:F198)*6</f>
        <v>1380</v>
      </c>
      <c r="O161" s="396">
        <v>990</v>
      </c>
      <c r="P161" s="396">
        <f t="shared" si="30"/>
        <v>240</v>
      </c>
      <c r="Q161" s="398">
        <f t="shared" si="31"/>
        <v>1.60316279069767</v>
      </c>
      <c r="R161" s="402">
        <f ca="1" t="shared" si="32"/>
        <v>6.27348837209302</v>
      </c>
      <c r="S161" s="403">
        <f t="shared" si="33"/>
        <v>1.7</v>
      </c>
      <c r="T161" s="404">
        <f t="shared" si="34"/>
        <v>1.16438356164384</v>
      </c>
      <c r="U161" s="404">
        <f t="shared" si="38"/>
        <v>1.46</v>
      </c>
      <c r="V161" s="405">
        <f t="shared" si="35"/>
        <v>0</v>
      </c>
      <c r="W161" s="404">
        <v>2.2869</v>
      </c>
      <c r="X161" s="404">
        <f ca="1" t="shared" si="36"/>
        <v>1.62673274855926</v>
      </c>
      <c r="Y161" s="406">
        <f t="shared" si="37"/>
        <v>0</v>
      </c>
      <c r="Z161" s="404">
        <f ca="1">MAX((X161^(1/INT(L76/6))-1)/5,MAX($Z$148:Z160))</f>
        <v>0.0280350850198276</v>
      </c>
    </row>
    <row r="162" spans="1:26">
      <c r="A162" s="395"/>
      <c r="D162" s="25">
        <f t="shared" si="20"/>
        <v>14</v>
      </c>
      <c r="E162" s="25">
        <f t="shared" si="21"/>
        <v>47</v>
      </c>
      <c r="F162" s="396">
        <f t="shared" si="22"/>
        <v>2250</v>
      </c>
      <c r="G162" s="397" t="str">
        <f t="shared" si="23"/>
        <v>红</v>
      </c>
      <c r="H162" s="398">
        <f t="shared" si="24"/>
        <v>0.371911111111111</v>
      </c>
      <c r="I162" s="399">
        <f t="shared" si="25"/>
        <v>0.634666666666667</v>
      </c>
      <c r="J162" s="400">
        <f t="shared" si="26"/>
        <v>0.573333333333333</v>
      </c>
      <c r="K162" s="399">
        <f t="shared" si="27"/>
        <v>0.106666666666667</v>
      </c>
      <c r="L162" s="401">
        <f t="shared" si="28"/>
        <v>1.68657777777778</v>
      </c>
      <c r="M162" s="396">
        <f t="shared" si="29"/>
        <v>836.8</v>
      </c>
      <c r="N162" s="396" cm="1">
        <f t="array" ref="N162">SUMPRODUCT($E$186:E199,$F$186:F199)*6</f>
        <v>1428</v>
      </c>
      <c r="O162" s="396">
        <v>1290</v>
      </c>
      <c r="P162" s="396">
        <f t="shared" si="30"/>
        <v>240</v>
      </c>
      <c r="Q162" s="398">
        <f t="shared" si="31"/>
        <v>1.68657777777778</v>
      </c>
      <c r="R162" s="402">
        <f ca="1" t="shared" si="32"/>
        <v>6.86311111111111</v>
      </c>
      <c r="S162" s="403">
        <f t="shared" si="33"/>
        <v>1.73</v>
      </c>
      <c r="T162" s="404">
        <f t="shared" si="34"/>
        <v>1.16498316498316</v>
      </c>
      <c r="U162" s="404">
        <f t="shared" ref="U162:U167" si="39">U161+2.5%</f>
        <v>1.485</v>
      </c>
      <c r="V162" s="405" t="e">
        <f>#REF!</f>
        <v>#REF!</v>
      </c>
      <c r="W162" s="404">
        <v>2.309175</v>
      </c>
      <c r="X162" s="404">
        <f ca="1" t="shared" si="36"/>
        <v>1.7179799058959</v>
      </c>
      <c r="Y162" s="406" t="str">
        <f t="shared" si="37"/>
        <v>紫</v>
      </c>
      <c r="Z162" s="404">
        <f ca="1">MAX((X162^(1/INT(L77/6))-1)/5,MAX($Z$148:Z161))</f>
        <v>0.0280350850198276</v>
      </c>
    </row>
    <row r="163" spans="1:26">
      <c r="A163" s="395"/>
      <c r="D163" s="25">
        <f t="shared" si="20"/>
        <v>15</v>
      </c>
      <c r="E163" s="25">
        <f t="shared" si="21"/>
        <v>48</v>
      </c>
      <c r="F163" s="396">
        <f t="shared" si="22"/>
        <v>2350</v>
      </c>
      <c r="G163" s="397" t="str">
        <f t="shared" si="23"/>
        <v>红</v>
      </c>
      <c r="H163" s="398">
        <f t="shared" si="24"/>
        <v>0.356085106382979</v>
      </c>
      <c r="I163" s="399">
        <f t="shared" si="25"/>
        <v>0.628085106382979</v>
      </c>
      <c r="J163" s="400">
        <f t="shared" si="26"/>
        <v>0.679148936170213</v>
      </c>
      <c r="K163" s="399">
        <f t="shared" si="27"/>
        <v>0.153191489361702</v>
      </c>
      <c r="L163" s="401">
        <f t="shared" si="28"/>
        <v>1.81651063829787</v>
      </c>
      <c r="M163" s="396">
        <f t="shared" si="29"/>
        <v>836.8</v>
      </c>
      <c r="N163" s="396" cm="1">
        <f t="array" ref="N163">SUMPRODUCT($E$186:E200,$F$186:F200)*6</f>
        <v>1476</v>
      </c>
      <c r="O163" s="396">
        <v>1596</v>
      </c>
      <c r="P163" s="396">
        <f t="shared" si="30"/>
        <v>360</v>
      </c>
      <c r="Q163" s="398">
        <f t="shared" si="31"/>
        <v>1.81651063829787</v>
      </c>
      <c r="R163" s="402">
        <f ca="1" t="shared" si="32"/>
        <v>7.03063829787234</v>
      </c>
      <c r="S163" s="403">
        <f t="shared" si="33"/>
        <v>1.76</v>
      </c>
      <c r="T163" s="404">
        <f t="shared" si="34"/>
        <v>1.16556291390728</v>
      </c>
      <c r="U163" s="404">
        <f t="shared" si="39"/>
        <v>1.51</v>
      </c>
      <c r="V163" s="405" t="str">
        <f>G73</f>
        <v>红卡2</v>
      </c>
      <c r="W163" s="404">
        <v>2.33145</v>
      </c>
      <c r="X163" s="404">
        <f ca="1" t="shared" si="36"/>
        <v>1.7179799058959</v>
      </c>
      <c r="Y163" s="404"/>
      <c r="Z163" s="404">
        <f ca="1">MAX((X163^(1/INT(L78/6))-1)/5,MAX($Z$148:Z162))</f>
        <v>0.0280350850198276</v>
      </c>
    </row>
    <row r="164" spans="1:26">
      <c r="A164" s="395"/>
      <c r="D164" s="25">
        <f t="shared" si="20"/>
        <v>16</v>
      </c>
      <c r="E164" s="25">
        <f t="shared" si="21"/>
        <v>49</v>
      </c>
      <c r="F164" s="396">
        <f t="shared" si="22"/>
        <v>2450</v>
      </c>
      <c r="G164" s="397" t="str">
        <f t="shared" si="23"/>
        <v>红</v>
      </c>
      <c r="H164" s="398">
        <f t="shared" si="24"/>
        <v>0.341551020408163</v>
      </c>
      <c r="I164" s="399">
        <f t="shared" si="25"/>
        <v>0.622040816326531</v>
      </c>
      <c r="J164" s="400">
        <f t="shared" si="26"/>
        <v>0.773877551020408</v>
      </c>
      <c r="K164" s="399">
        <f t="shared" si="27"/>
        <v>0.146938775510204</v>
      </c>
      <c r="L164" s="401">
        <f t="shared" si="28"/>
        <v>1.88440816326531</v>
      </c>
      <c r="M164" s="396">
        <f t="shared" si="29"/>
        <v>836.8</v>
      </c>
      <c r="N164" s="396" cm="1">
        <f t="array" ref="N164">SUMPRODUCT($E$186:E201,$F$186:F201)*6</f>
        <v>1524</v>
      </c>
      <c r="O164" s="396">
        <v>1896</v>
      </c>
      <c r="P164" s="396">
        <f t="shared" si="30"/>
        <v>360</v>
      </c>
      <c r="Q164" s="398">
        <f t="shared" si="31"/>
        <v>1.88440816326531</v>
      </c>
      <c r="R164" s="402">
        <f ca="1" t="shared" si="32"/>
        <v>7.21551020408163</v>
      </c>
      <c r="S164" s="403">
        <f t="shared" si="33"/>
        <v>1.79</v>
      </c>
      <c r="T164" s="404">
        <f t="shared" si="34"/>
        <v>1.16612377850163</v>
      </c>
      <c r="U164" s="404">
        <f t="shared" si="39"/>
        <v>1.535</v>
      </c>
      <c r="V164" s="405" t="e">
        <f>#REF!</f>
        <v>#REF!</v>
      </c>
      <c r="W164" s="404">
        <v>2.353725</v>
      </c>
      <c r="X164" s="404">
        <f ca="1" t="shared" si="36"/>
        <v>1.7179799058959</v>
      </c>
      <c r="Y164" s="406">
        <f t="shared" ref="Y164:Y170" si="40">M79</f>
        <v>0</v>
      </c>
      <c r="Z164" s="404">
        <f ca="1">MAX((X164^(1/INT(L79/6))-1)/5,MAX($Z$148:Z163))</f>
        <v>0.0280350850198276</v>
      </c>
    </row>
    <row r="165" spans="1:26">
      <c r="A165" s="395"/>
      <c r="D165" s="25">
        <f t="shared" si="20"/>
        <v>20</v>
      </c>
      <c r="E165" s="25">
        <f t="shared" si="21"/>
        <v>53</v>
      </c>
      <c r="F165" s="396">
        <f t="shared" si="22"/>
        <v>2850</v>
      </c>
      <c r="G165" s="397" t="str">
        <f t="shared" si="23"/>
        <v>红</v>
      </c>
      <c r="H165" s="398">
        <f t="shared" si="24"/>
        <v>0.313824561403509</v>
      </c>
      <c r="I165" s="399">
        <f t="shared" si="25"/>
        <v>0.602105263157895</v>
      </c>
      <c r="J165" s="400">
        <f t="shared" si="26"/>
        <v>0.770526315789474</v>
      </c>
      <c r="K165" s="399">
        <f t="shared" si="27"/>
        <v>0.126315789473684</v>
      </c>
      <c r="L165" s="401">
        <f t="shared" si="28"/>
        <v>1.81277192982456</v>
      </c>
      <c r="M165" s="396">
        <f t="shared" si="29"/>
        <v>894.4</v>
      </c>
      <c r="N165" s="396" cm="1">
        <f t="array" ref="N165">SUMPRODUCT($E$186:E202,$F$186:F202)*6</f>
        <v>1716</v>
      </c>
      <c r="O165" s="396">
        <v>2196</v>
      </c>
      <c r="P165" s="396">
        <f t="shared" si="30"/>
        <v>360</v>
      </c>
      <c r="Q165" s="398">
        <f t="shared" si="31"/>
        <v>1.81277192982456</v>
      </c>
      <c r="R165" s="402">
        <f ca="1" t="shared" si="32"/>
        <v>8.12982456140351</v>
      </c>
      <c r="S165" s="403">
        <f t="shared" si="33"/>
        <v>1.82</v>
      </c>
      <c r="T165" s="404">
        <f t="shared" si="34"/>
        <v>1.16666666666667</v>
      </c>
      <c r="U165" s="404">
        <f t="shared" si="39"/>
        <v>1.56</v>
      </c>
      <c r="V165" s="405" t="str">
        <f>G75</f>
        <v>红卡3</v>
      </c>
      <c r="W165" s="404">
        <v>2.442825</v>
      </c>
      <c r="X165" s="404">
        <f ca="1" t="shared" si="36"/>
        <v>1.82859458708656</v>
      </c>
      <c r="Y165" s="406">
        <f t="shared" si="40"/>
        <v>0</v>
      </c>
      <c r="Z165" s="404">
        <f ca="1">MAX((X165^(1/INT(L80/6))-1)/5,MAX($Z$148:Z164))</f>
        <v>0.0280350850198276</v>
      </c>
    </row>
    <row r="166" spans="1:26">
      <c r="A166" s="395"/>
      <c r="D166" s="25">
        <f t="shared" si="20"/>
        <v>27</v>
      </c>
      <c r="E166" s="25">
        <f t="shared" si="21"/>
        <v>60</v>
      </c>
      <c r="F166" s="396">
        <f t="shared" si="22"/>
        <v>3550</v>
      </c>
      <c r="G166" s="397" t="str">
        <f t="shared" si="23"/>
        <v>粉</v>
      </c>
      <c r="H166" s="398">
        <f t="shared" si="24"/>
        <v>0.336901408450704</v>
      </c>
      <c r="I166" s="399">
        <f t="shared" si="25"/>
        <v>0.578028169014084</v>
      </c>
      <c r="J166" s="400">
        <f t="shared" si="26"/>
        <v>0.703098591549296</v>
      </c>
      <c r="K166" s="399">
        <f t="shared" si="27"/>
        <v>0.101408450704225</v>
      </c>
      <c r="L166" s="401">
        <f t="shared" si="28"/>
        <v>1.71943661971831</v>
      </c>
      <c r="M166" s="396">
        <f t="shared" si="29"/>
        <v>1196</v>
      </c>
      <c r="N166" s="396" cm="1">
        <f t="array" ref="N166">SUMPRODUCT($E$186:E203,$F$186:F203)*6</f>
        <v>2052</v>
      </c>
      <c r="O166" s="396">
        <v>2496</v>
      </c>
      <c r="P166" s="396">
        <f t="shared" si="30"/>
        <v>360</v>
      </c>
      <c r="Q166" s="398">
        <f t="shared" si="31"/>
        <v>1.71943661971831</v>
      </c>
      <c r="R166" s="402">
        <f ca="1" t="shared" si="32"/>
        <v>10.4788732394366</v>
      </c>
      <c r="S166" s="403">
        <f t="shared" si="33"/>
        <v>1.85</v>
      </c>
      <c r="T166" s="404">
        <f t="shared" si="34"/>
        <v>1.16719242902208</v>
      </c>
      <c r="U166" s="404">
        <f t="shared" si="39"/>
        <v>1.585</v>
      </c>
      <c r="V166" s="405" t="str">
        <f>G77</f>
        <v>红卡4</v>
      </c>
      <c r="W166" s="404">
        <v>2.59875</v>
      </c>
      <c r="X166" s="404">
        <f ca="1" t="shared" si="36"/>
        <v>2.17960781341063</v>
      </c>
      <c r="Y166" s="406">
        <f t="shared" si="40"/>
        <v>0</v>
      </c>
      <c r="Z166" s="404">
        <f ca="1">MAX((X166^(1/INT(L81/6))-1)/5,MAX($Z$148:Z165))</f>
        <v>0.0337252682400139</v>
      </c>
    </row>
    <row r="167" spans="1:26">
      <c r="A167" s="395"/>
      <c r="D167" s="25">
        <f t="shared" si="20"/>
        <v>34</v>
      </c>
      <c r="E167" s="25">
        <f t="shared" si="21"/>
        <v>67</v>
      </c>
      <c r="F167" s="396">
        <f t="shared" si="22"/>
        <v>4250</v>
      </c>
      <c r="G167" s="397" t="str">
        <f t="shared" si="23"/>
        <v>粉</v>
      </c>
      <c r="H167" s="398">
        <f t="shared" si="24"/>
        <v>0.300705882352941</v>
      </c>
      <c r="I167" s="399">
        <f t="shared" si="25"/>
        <v>0.552</v>
      </c>
      <c r="J167" s="400">
        <f t="shared" si="26"/>
        <v>0.655058823529412</v>
      </c>
      <c r="K167" s="399">
        <f t="shared" si="27"/>
        <v>0.0847058823529412</v>
      </c>
      <c r="L167" s="401">
        <f t="shared" si="28"/>
        <v>1.59247058823529</v>
      </c>
      <c r="M167" s="396">
        <f t="shared" si="29"/>
        <v>1278</v>
      </c>
      <c r="N167" s="396" cm="1">
        <f t="array" ref="N167">SUMPRODUCT($E$186:E204,$F$186:F204)*6</f>
        <v>2346</v>
      </c>
      <c r="O167" s="396">
        <v>2784</v>
      </c>
      <c r="P167" s="396">
        <f t="shared" si="30"/>
        <v>360</v>
      </c>
      <c r="Q167" s="398">
        <f t="shared" si="31"/>
        <v>1.59247058823529</v>
      </c>
      <c r="R167" s="402">
        <f ca="1" t="shared" si="32"/>
        <v>14.0545882352941</v>
      </c>
      <c r="S167" s="403">
        <f t="shared" si="33"/>
        <v>1.88</v>
      </c>
      <c r="T167" s="404">
        <f t="shared" si="34"/>
        <v>1.16770186335404</v>
      </c>
      <c r="U167" s="404">
        <f t="shared" si="39"/>
        <v>1.61</v>
      </c>
      <c r="V167" s="405" t="str">
        <f>G82</f>
        <v>粉卡1</v>
      </c>
      <c r="W167" s="404">
        <v>2.99052</v>
      </c>
      <c r="X167" s="404">
        <f ca="1" t="shared" si="36"/>
        <v>2.49984778767823</v>
      </c>
      <c r="Y167" s="406">
        <f t="shared" si="40"/>
        <v>0</v>
      </c>
      <c r="Z167" s="404">
        <f ca="1">MAX((X167^(1/INT(L82/6))-1)/5,MAX($Z$148:Z166))</f>
        <v>0.0402219615100218</v>
      </c>
    </row>
    <row r="168" spans="1:26">
      <c r="A168" s="395"/>
      <c r="D168" s="25">
        <f t="shared" si="20"/>
        <v>41</v>
      </c>
      <c r="E168" s="25">
        <f t="shared" si="21"/>
        <v>74</v>
      </c>
      <c r="F168" s="396">
        <f t="shared" si="22"/>
        <v>4950</v>
      </c>
      <c r="G168" s="397" t="str">
        <f t="shared" si="23"/>
        <v>粉</v>
      </c>
      <c r="H168" s="398">
        <f t="shared" si="24"/>
        <v>0.275959595959596</v>
      </c>
      <c r="I168" s="399">
        <f t="shared" si="25"/>
        <v>0.533333333333333</v>
      </c>
      <c r="J168" s="400">
        <f t="shared" si="26"/>
        <v>0.637575757575758</v>
      </c>
      <c r="K168" s="399">
        <f t="shared" si="27"/>
        <v>0.0727272727272727</v>
      </c>
      <c r="L168" s="401">
        <f t="shared" si="28"/>
        <v>1.51959595959596</v>
      </c>
      <c r="M168" s="396">
        <f t="shared" si="29"/>
        <v>1366</v>
      </c>
      <c r="N168" s="396" cm="1">
        <f t="array" ref="N168">SUMPRODUCT($E$186:E205,$F$186:F205)*6</f>
        <v>2640</v>
      </c>
      <c r="O168" s="396">
        <v>3156</v>
      </c>
      <c r="P168" s="396">
        <f t="shared" si="30"/>
        <v>360</v>
      </c>
      <c r="Q168" s="398">
        <f t="shared" si="31"/>
        <v>1.51959595959596</v>
      </c>
      <c r="R168" s="402">
        <f ca="1" t="shared" si="32"/>
        <v>19.3763636363636</v>
      </c>
      <c r="S168" s="403">
        <f t="shared" si="33"/>
        <v>1.91</v>
      </c>
      <c r="T168" s="404">
        <f t="shared" si="34"/>
        <v>1.17177914110429</v>
      </c>
      <c r="U168" s="404">
        <f>U167+2%</f>
        <v>1.63</v>
      </c>
      <c r="V168" s="405">
        <f t="shared" si="35"/>
        <v>0</v>
      </c>
      <c r="W168" s="404">
        <v>3.6616</v>
      </c>
      <c r="X168" s="404">
        <f ca="1" t="shared" si="36"/>
        <v>2.7705628696012</v>
      </c>
      <c r="Y168" s="406">
        <f t="shared" si="40"/>
        <v>0</v>
      </c>
      <c r="Z168" s="404">
        <f ca="1">MAX((X168^(1/INT(L83/6))-1)/5,MAX($Z$148:Z167))</f>
        <v>0.0452130603867905</v>
      </c>
    </row>
    <row r="169" spans="1:26">
      <c r="A169" s="395"/>
      <c r="D169" s="25">
        <f t="shared" si="20"/>
        <v>48</v>
      </c>
      <c r="E169" s="25">
        <f t="shared" si="21"/>
        <v>81</v>
      </c>
      <c r="F169" s="396">
        <f t="shared" si="22"/>
        <v>5650</v>
      </c>
      <c r="G169" s="397" t="str">
        <f t="shared" si="23"/>
        <v>粉</v>
      </c>
      <c r="H169" s="398">
        <f t="shared" si="24"/>
        <v>0.258407079646018</v>
      </c>
      <c r="I169" s="399">
        <f t="shared" si="25"/>
        <v>0.51929203539823</v>
      </c>
      <c r="J169" s="400">
        <f t="shared" si="26"/>
        <v>0.622300884955752</v>
      </c>
      <c r="K169" s="399">
        <f t="shared" si="27"/>
        <v>0.063716814159292</v>
      </c>
      <c r="L169" s="401">
        <f t="shared" si="28"/>
        <v>1.46371681415929</v>
      </c>
      <c r="M169" s="396">
        <f t="shared" si="29"/>
        <v>1460</v>
      </c>
      <c r="N169" s="396" cm="1">
        <f t="array" ref="N169">SUMPRODUCT($E$186:E206,$F$186:F206)*6</f>
        <v>2934</v>
      </c>
      <c r="O169" s="396">
        <v>3516</v>
      </c>
      <c r="P169" s="396">
        <f t="shared" si="30"/>
        <v>360</v>
      </c>
      <c r="Q169" s="398">
        <f t="shared" si="31"/>
        <v>1.46371681415929</v>
      </c>
      <c r="R169" s="402">
        <f ca="1" t="shared" si="32"/>
        <v>27.258407079646</v>
      </c>
      <c r="S169" s="403">
        <f t="shared" si="33"/>
        <v>1.94</v>
      </c>
      <c r="T169" s="404">
        <f t="shared" si="34"/>
        <v>1.17575757575758</v>
      </c>
      <c r="U169" s="404">
        <f>U168+2%</f>
        <v>1.65</v>
      </c>
      <c r="V169" s="405" t="str">
        <f>G79</f>
        <v>红卡5</v>
      </c>
      <c r="W169" s="404">
        <v>3.9192</v>
      </c>
      <c r="X169" s="404">
        <f ca="1" t="shared" si="36"/>
        <v>3.58510035180307</v>
      </c>
      <c r="Y169" s="406">
        <f t="shared" si="40"/>
        <v>0</v>
      </c>
      <c r="Z169" s="404">
        <f ca="1">MAX((X169^(1/INT(L84/6))-1)/5,MAX($Z$148:Z168))</f>
        <v>0.0581845552721622</v>
      </c>
    </row>
    <row r="170" spans="1:26">
      <c r="A170" s="395"/>
      <c r="D170" s="25">
        <f t="shared" si="20"/>
        <v>55</v>
      </c>
      <c r="E170" s="25">
        <f t="shared" si="21"/>
        <v>84.5</v>
      </c>
      <c r="F170" s="396">
        <f t="shared" si="22"/>
        <v>6350</v>
      </c>
      <c r="G170" s="397" t="str">
        <f t="shared" si="23"/>
        <v>粉</v>
      </c>
      <c r="H170" s="398">
        <f t="shared" si="24"/>
        <v>0.245984251968504</v>
      </c>
      <c r="I170" s="399">
        <f t="shared" si="25"/>
        <v>0.517606299212598</v>
      </c>
      <c r="J170" s="400">
        <f t="shared" si="26"/>
        <v>0.604724409448819</v>
      </c>
      <c r="K170" s="399">
        <f t="shared" si="27"/>
        <v>0.0566929133858268</v>
      </c>
      <c r="L170" s="401">
        <f t="shared" si="28"/>
        <v>1.42500787401575</v>
      </c>
      <c r="M170" s="396">
        <f t="shared" si="29"/>
        <v>1562</v>
      </c>
      <c r="N170" s="396" cm="1">
        <f t="array" ref="N170">SUMPRODUCT($E$186:E207,$F$186:F207)*6</f>
        <v>3286.8</v>
      </c>
      <c r="O170" s="396">
        <v>3840</v>
      </c>
      <c r="P170" s="396">
        <f t="shared" si="30"/>
        <v>360</v>
      </c>
      <c r="Q170" s="398">
        <f t="shared" si="31"/>
        <v>1.42500787401575</v>
      </c>
      <c r="R170" s="402">
        <f ca="1" t="shared" si="32"/>
        <v>29.7113385826772</v>
      </c>
      <c r="S170" s="403">
        <f t="shared" si="33"/>
        <v>1.97</v>
      </c>
      <c r="T170" s="404">
        <f t="shared" si="34"/>
        <v>1.17964071856287</v>
      </c>
      <c r="U170" s="404">
        <f>U169+2%</f>
        <v>1.67</v>
      </c>
      <c r="V170" s="405" t="str">
        <f>G81</f>
        <v>红卡6</v>
      </c>
      <c r="W170" s="404">
        <v>4.1768</v>
      </c>
      <c r="X170" s="404">
        <f ca="1" t="shared" si="36"/>
        <v>3.61087381672672</v>
      </c>
      <c r="Y170" s="406" t="str">
        <f t="shared" si="40"/>
        <v>橙</v>
      </c>
      <c r="Z170" s="404">
        <f ca="1">MAX((X170^(1/INT(L85/6))-1)/5,MAX($Z$148:Z169))</f>
        <v>0.058554712689558</v>
      </c>
    </row>
    <row r="171" spans="1:26">
      <c r="A171" s="395"/>
      <c r="D171" s="25">
        <f t="shared" si="20"/>
        <v>62</v>
      </c>
      <c r="E171" s="25">
        <f t="shared" si="21"/>
        <v>88</v>
      </c>
      <c r="F171" s="396">
        <f t="shared" si="22"/>
        <v>7050</v>
      </c>
      <c r="G171" s="397" t="str">
        <f t="shared" si="23"/>
        <v>粉</v>
      </c>
      <c r="H171" s="398">
        <f t="shared" si="24"/>
        <v>0.221560283687943</v>
      </c>
      <c r="I171" s="399">
        <f t="shared" si="25"/>
        <v>0.494808510638298</v>
      </c>
      <c r="J171" s="400">
        <f t="shared" si="26"/>
        <v>0.591489361702128</v>
      </c>
      <c r="K171" s="399">
        <f t="shared" si="27"/>
        <v>0.0638297872340425</v>
      </c>
      <c r="L171" s="401">
        <f t="shared" si="28"/>
        <v>1.37168794326241</v>
      </c>
      <c r="M171" s="396">
        <f t="shared" si="29"/>
        <v>1562</v>
      </c>
      <c r="N171" s="396" cm="1">
        <f t="array" ref="N171">SUMPRODUCT($E$186:E208,$F$186:F208)*6</f>
        <v>3488.4</v>
      </c>
      <c r="O171" s="396">
        <v>4170</v>
      </c>
      <c r="P171" s="396">
        <f t="shared" si="30"/>
        <v>450</v>
      </c>
      <c r="Q171" s="398">
        <f t="shared" si="31"/>
        <v>1.37168794326241</v>
      </c>
      <c r="R171" s="402">
        <f ca="1" t="shared" si="32"/>
        <v>35.0782978723404</v>
      </c>
      <c r="S171" s="403">
        <f t="shared" si="33"/>
        <v>2</v>
      </c>
      <c r="T171" s="404">
        <f t="shared" si="34"/>
        <v>1.17647058823529</v>
      </c>
      <c r="U171" s="404">
        <v>1.7</v>
      </c>
      <c r="V171" s="405" t="str">
        <f>G85</f>
        <v>粉卡2</v>
      </c>
      <c r="W171" s="404">
        <v>5.0128</v>
      </c>
      <c r="X171" s="404">
        <f ca="1" t="shared" si="36"/>
        <v>3.89758865248227</v>
      </c>
      <c r="Y171" s="404"/>
      <c r="Z171" s="404">
        <f ca="1">MAX((X171^(1/INT(L86/6))-1)/5,MAX($Z$148:Z170))</f>
        <v>0.062536200734565</v>
      </c>
    </row>
    <row r="172" spans="1:26">
      <c r="A172" s="395"/>
      <c r="D172" s="25">
        <f t="shared" si="20"/>
        <v>90</v>
      </c>
      <c r="E172" s="25">
        <f t="shared" si="21"/>
        <v>102</v>
      </c>
      <c r="F172" s="396">
        <f t="shared" si="22"/>
        <v>9850</v>
      </c>
      <c r="G172" s="397" t="str">
        <f t="shared" si="23"/>
        <v>粉</v>
      </c>
      <c r="H172" s="398">
        <f t="shared" si="24"/>
        <v>0.181319796954315</v>
      </c>
      <c r="I172" s="399">
        <f t="shared" si="25"/>
        <v>0.463309644670051</v>
      </c>
      <c r="J172" s="400">
        <f t="shared" si="26"/>
        <v>0.456852791878173</v>
      </c>
      <c r="K172" s="399">
        <f t="shared" si="27"/>
        <v>0.0456852791878173</v>
      </c>
      <c r="L172" s="401">
        <f t="shared" si="28"/>
        <v>1.14716751269036</v>
      </c>
      <c r="M172" s="396">
        <f t="shared" si="29"/>
        <v>1786</v>
      </c>
      <c r="N172" s="396" cm="1">
        <f t="array" ref="N172">SUMPRODUCT($E$186:E209,$F$186:F209)*6</f>
        <v>4563.6</v>
      </c>
      <c r="O172" s="396">
        <v>4500</v>
      </c>
      <c r="P172" s="396">
        <f t="shared" si="30"/>
        <v>450</v>
      </c>
      <c r="Q172" s="398">
        <f t="shared" si="31"/>
        <v>1.14716751269036</v>
      </c>
      <c r="R172" s="402">
        <f ca="1" t="shared" si="32"/>
        <v>64.7376649746193</v>
      </c>
      <c r="S172" s="403">
        <f t="shared" si="33"/>
        <v>2.03</v>
      </c>
      <c r="T172" s="404">
        <f t="shared" si="34"/>
        <v>1.1768115942029</v>
      </c>
      <c r="U172" s="404">
        <f t="shared" ref="U172:U181" si="41">U171+2.5%</f>
        <v>1.725</v>
      </c>
      <c r="V172" s="405">
        <f t="shared" si="35"/>
        <v>0</v>
      </c>
      <c r="W172" s="404">
        <v>5.47871999999999</v>
      </c>
      <c r="X172" s="404">
        <f ca="1" t="shared" si="36"/>
        <v>5.82078941010955</v>
      </c>
      <c r="Y172" s="406">
        <f>M87</f>
        <v>0</v>
      </c>
      <c r="Z172" s="404">
        <f ca="1">MAX((X172^(1/INT(L87/6))-1)/5,MAX($Z$148:Z171))</f>
        <v>0.0844633846419046</v>
      </c>
    </row>
    <row r="173" spans="1:26">
      <c r="A173" s="395"/>
      <c r="D173" s="25">
        <f t="shared" si="20"/>
        <v>120</v>
      </c>
      <c r="E173" s="25">
        <f t="shared" si="21"/>
        <v>117</v>
      </c>
      <c r="F173" s="396">
        <f t="shared" si="22"/>
        <v>12850</v>
      </c>
      <c r="G173" s="397" t="str">
        <f t="shared" si="23"/>
        <v>彩</v>
      </c>
      <c r="H173" s="398">
        <f t="shared" si="24"/>
        <v>0.18579766536965</v>
      </c>
      <c r="I173" s="399">
        <f t="shared" si="25"/>
        <v>0.411175097276265</v>
      </c>
      <c r="J173" s="400">
        <f t="shared" si="26"/>
        <v>0.375875486381323</v>
      </c>
      <c r="K173" s="399">
        <f t="shared" si="27"/>
        <v>0.0350194552529183</v>
      </c>
      <c r="L173" s="401">
        <f t="shared" si="28"/>
        <v>1.00786770428016</v>
      </c>
      <c r="M173" s="396">
        <f t="shared" si="29"/>
        <v>2387.5</v>
      </c>
      <c r="N173" s="396" cm="1">
        <f t="array" ref="N173">SUMPRODUCT($E$186:E210,$F$186:F210)*6</f>
        <v>5283.6</v>
      </c>
      <c r="O173" s="396">
        <v>4830</v>
      </c>
      <c r="P173" s="396">
        <f t="shared" si="30"/>
        <v>450</v>
      </c>
      <c r="Q173" s="398">
        <f t="shared" si="31"/>
        <v>1.00786770428016</v>
      </c>
      <c r="R173" s="402">
        <f ca="1" t="shared" si="32"/>
        <v>136.912684824903</v>
      </c>
      <c r="S173" s="403">
        <f t="shared" si="33"/>
        <v>2.06</v>
      </c>
      <c r="T173" s="404">
        <f t="shared" si="34"/>
        <v>1.17714285714286</v>
      </c>
      <c r="U173" s="404">
        <f t="shared" si="41"/>
        <v>1.75</v>
      </c>
      <c r="V173" s="405" t="str">
        <f t="shared" si="35"/>
        <v>粉卡3</v>
      </c>
      <c r="W173" s="404">
        <v>7.66528</v>
      </c>
      <c r="X173" s="404">
        <f ca="1" t="shared" si="36"/>
        <v>8.67058585747725</v>
      </c>
      <c r="Y173" s="406">
        <f>M88</f>
        <v>0</v>
      </c>
      <c r="Z173" s="404">
        <f ca="1">MAX((X173^(1/INT(L88/6))-1)/5,MAX($Z$148:Z172))</f>
        <v>0.108063102070039</v>
      </c>
    </row>
    <row r="174" spans="1:26">
      <c r="A174" s="395"/>
      <c r="D174" s="25">
        <f t="shared" si="20"/>
        <v>150</v>
      </c>
      <c r="E174" s="25">
        <f t="shared" si="21"/>
        <v>132</v>
      </c>
      <c r="F174" s="396">
        <f t="shared" si="22"/>
        <v>15850</v>
      </c>
      <c r="G174" s="397" t="str">
        <f t="shared" si="23"/>
        <v>彩</v>
      </c>
      <c r="H174" s="398">
        <f t="shared" si="24"/>
        <v>0.161041009463722</v>
      </c>
      <c r="I174" s="399">
        <f t="shared" si="25"/>
        <v>0.378776025236593</v>
      </c>
      <c r="J174" s="400">
        <f t="shared" si="26"/>
        <v>0.344858044164038</v>
      </c>
      <c r="K174" s="399">
        <f t="shared" si="27"/>
        <v>0.028391167192429</v>
      </c>
      <c r="L174" s="401">
        <f t="shared" si="28"/>
        <v>0.913066246056782</v>
      </c>
      <c r="M174" s="396">
        <f t="shared" si="29"/>
        <v>2552.5</v>
      </c>
      <c r="N174" s="396" cm="1">
        <f t="array" ref="N174">SUMPRODUCT($E$186:E211,$F$186:F211)*6</f>
        <v>6003.6</v>
      </c>
      <c r="O174" s="396">
        <v>5466</v>
      </c>
      <c r="P174" s="396">
        <f t="shared" si="30"/>
        <v>450</v>
      </c>
      <c r="Q174" s="398">
        <f t="shared" si="31"/>
        <v>0.913066246056782</v>
      </c>
      <c r="R174" s="402">
        <f ca="1" t="shared" si="32"/>
        <v>306.247949526814</v>
      </c>
      <c r="S174" s="403">
        <f t="shared" si="33"/>
        <v>2.09</v>
      </c>
      <c r="T174" s="404">
        <f t="shared" si="34"/>
        <v>1.17746478873239</v>
      </c>
      <c r="U174" s="404">
        <f t="shared" si="41"/>
        <v>1.775</v>
      </c>
      <c r="V174" s="405" t="str">
        <f t="shared" si="35"/>
        <v>粉卡4</v>
      </c>
      <c r="W174" s="404">
        <v>8.47167999999999</v>
      </c>
      <c r="X174" s="404">
        <f ca="1" t="shared" si="36"/>
        <v>17.2964653281073</v>
      </c>
      <c r="Y174" s="406">
        <f>M89</f>
        <v>0</v>
      </c>
      <c r="Z174" s="404">
        <f ca="1">MAX((X174^(1/INT(L89/6))-1)/5,MAX($Z$148:Z173))</f>
        <v>0.15368893049626</v>
      </c>
    </row>
    <row r="175" spans="1:26">
      <c r="A175" s="395"/>
      <c r="D175" s="25">
        <f t="shared" si="20"/>
        <v>190</v>
      </c>
      <c r="E175" s="25">
        <f t="shared" si="21"/>
        <v>152</v>
      </c>
      <c r="F175" s="396">
        <f t="shared" si="22"/>
        <v>19850</v>
      </c>
      <c r="G175" s="397" t="str">
        <f t="shared" si="23"/>
        <v>彩</v>
      </c>
      <c r="H175" s="398">
        <f t="shared" si="24"/>
        <v>0.147103274559194</v>
      </c>
      <c r="I175" s="399">
        <f t="shared" si="25"/>
        <v>0.36048362720403</v>
      </c>
      <c r="J175" s="400">
        <f t="shared" si="26"/>
        <v>0.329773299748111</v>
      </c>
      <c r="K175" s="399">
        <f t="shared" si="27"/>
        <v>0.0226700251889169</v>
      </c>
      <c r="L175" s="401">
        <f t="shared" si="28"/>
        <v>0.860030226700252</v>
      </c>
      <c r="M175" s="396">
        <f t="shared" si="29"/>
        <v>2920</v>
      </c>
      <c r="N175" s="396" cm="1">
        <f t="array" ref="N175">SUMPRODUCT($E$186:E212,$F$186:F212)*6</f>
        <v>7155.6</v>
      </c>
      <c r="O175" s="396">
        <v>6546</v>
      </c>
      <c r="P175" s="396">
        <f t="shared" si="30"/>
        <v>450</v>
      </c>
      <c r="Q175" s="398">
        <f t="shared" si="31"/>
        <v>0.860030226700252</v>
      </c>
      <c r="R175" s="402">
        <f ca="1" t="shared" si="32"/>
        <v>946.274206549118</v>
      </c>
      <c r="S175" s="403">
        <f t="shared" si="33"/>
        <v>2.12</v>
      </c>
      <c r="T175" s="404">
        <f t="shared" si="34"/>
        <v>1.17777777777778</v>
      </c>
      <c r="U175" s="404">
        <f t="shared" si="41"/>
        <v>1.8</v>
      </c>
      <c r="V175" s="405" t="str">
        <f t="shared" si="35"/>
        <v>粉卡5</v>
      </c>
      <c r="W175" s="404">
        <v>10.71104</v>
      </c>
      <c r="X175" s="404">
        <f ca="1" t="shared" si="36"/>
        <v>41.6724947163103</v>
      </c>
      <c r="Y175" s="406">
        <f>M90</f>
        <v>0</v>
      </c>
      <c r="Z175" s="404">
        <f ca="1">MAX((X175^(1/INT(L90/6))-1)/5,MAX($Z$148:Z174))</f>
        <v>0.221696402157136</v>
      </c>
    </row>
    <row r="176" spans="1:26">
      <c r="A176" s="395"/>
      <c r="D176" s="25">
        <f t="shared" si="20"/>
        <v>250</v>
      </c>
      <c r="E176" s="25">
        <f t="shared" si="21"/>
        <v>182</v>
      </c>
      <c r="F176" s="396">
        <f t="shared" si="22"/>
        <v>25850</v>
      </c>
      <c r="G176" s="397" t="str">
        <f t="shared" si="23"/>
        <v>彩</v>
      </c>
      <c r="H176" s="398">
        <f t="shared" si="24"/>
        <v>0.129206963249516</v>
      </c>
      <c r="I176" s="399">
        <f t="shared" si="25"/>
        <v>0.354800773694391</v>
      </c>
      <c r="J176" s="400">
        <f t="shared" si="26"/>
        <v>0.295241779497099</v>
      </c>
      <c r="K176" s="399">
        <f t="shared" si="27"/>
        <v>0.020889748549323</v>
      </c>
      <c r="L176" s="401">
        <f t="shared" si="28"/>
        <v>0.80013926499033</v>
      </c>
      <c r="M176" s="396">
        <f t="shared" si="29"/>
        <v>3340</v>
      </c>
      <c r="N176" s="396" cm="1">
        <f t="array" ref="N176">SUMPRODUCT($E$186:E213,$F$186:F213)*6</f>
        <v>9171.6</v>
      </c>
      <c r="O176" s="396">
        <v>7632</v>
      </c>
      <c r="P176" s="396">
        <f t="shared" si="30"/>
        <v>540</v>
      </c>
      <c r="Q176" s="398">
        <f t="shared" si="31"/>
        <v>0.800139264990329</v>
      </c>
      <c r="R176" s="402">
        <f ca="1" t="shared" si="32"/>
        <v>5531.33806576402</v>
      </c>
      <c r="S176" s="403">
        <f t="shared" si="33"/>
        <v>2.15</v>
      </c>
      <c r="T176" s="404">
        <f t="shared" si="34"/>
        <v>1.17808219178082</v>
      </c>
      <c r="U176" s="404">
        <f t="shared" si="41"/>
        <v>1.825</v>
      </c>
      <c r="V176" s="405" t="str">
        <f t="shared" si="35"/>
        <v>粉卡6</v>
      </c>
      <c r="W176" s="404">
        <v>11.6326399999999</v>
      </c>
      <c r="X176" s="404">
        <f ca="1" t="shared" si="36"/>
        <v>221.163500239425</v>
      </c>
      <c r="Y176" s="406" t="str">
        <f>M91</f>
        <v>红</v>
      </c>
      <c r="Z176" s="404">
        <f ca="1">MAX((X176^(1/INT(L91/6))-1)/5,MAX($Z$148:Z175))</f>
        <v>0.388806623300136</v>
      </c>
    </row>
    <row r="177" spans="1:26">
      <c r="A177" s="395"/>
      <c r="D177" s="25">
        <f t="shared" si="20"/>
        <v>310</v>
      </c>
      <c r="E177" s="25">
        <f t="shared" si="21"/>
        <v>201.8</v>
      </c>
      <c r="F177" s="396">
        <f t="shared" si="22"/>
        <v>31850</v>
      </c>
      <c r="G177" s="397" t="str">
        <f t="shared" si="23"/>
        <v>彩</v>
      </c>
      <c r="H177" s="398">
        <f t="shared" si="24"/>
        <v>0.120015698587127</v>
      </c>
      <c r="I177" s="399">
        <f t="shared" si="25"/>
        <v>0.360301412872841</v>
      </c>
      <c r="J177" s="400">
        <f t="shared" si="26"/>
        <v>0.273532182103611</v>
      </c>
      <c r="K177" s="399">
        <f t="shared" si="27"/>
        <v>0.0169544740973312</v>
      </c>
      <c r="L177" s="401">
        <f t="shared" si="28"/>
        <v>0.77080376766091</v>
      </c>
      <c r="M177" s="396">
        <f t="shared" si="29"/>
        <v>3822.5</v>
      </c>
      <c r="N177" s="396" cm="1">
        <f t="array" ref="N177">SUMPRODUCT($E$186:E214,$F$186:F214)*6</f>
        <v>11475.6</v>
      </c>
      <c r="O177" s="396">
        <v>8712</v>
      </c>
      <c r="P177" s="396">
        <f t="shared" si="30"/>
        <v>540</v>
      </c>
      <c r="Q177" s="398">
        <f t="shared" si="31"/>
        <v>0.77080376766091</v>
      </c>
      <c r="R177" s="402">
        <f ca="1" t="shared" si="32"/>
        <v>16235.7768916797</v>
      </c>
      <c r="S177" s="403">
        <f t="shared" si="33"/>
        <v>2.18</v>
      </c>
      <c r="T177" s="404">
        <f t="shared" si="34"/>
        <v>1.17837837837838</v>
      </c>
      <c r="U177" s="404">
        <f t="shared" si="41"/>
        <v>1.85</v>
      </c>
      <c r="V177" s="405">
        <f t="shared" si="35"/>
        <v>0</v>
      </c>
      <c r="W177" s="404">
        <v>14.1235199999999</v>
      </c>
      <c r="X177" s="404">
        <f ca="1" t="shared" si="36"/>
        <v>527.319257433857</v>
      </c>
      <c r="Y177" s="404"/>
      <c r="Z177" s="404">
        <f ca="1">MAX((X177^(1/INT(L92/6))-1)/5,MAX($Z$148:Z176))</f>
        <v>0.500559008479957</v>
      </c>
    </row>
    <row r="178" spans="1:26">
      <c r="A178" s="395"/>
      <c r="D178" s="25">
        <f t="shared" si="20"/>
        <v>370</v>
      </c>
      <c r="E178" s="25">
        <f t="shared" si="21"/>
        <v>221.6</v>
      </c>
      <c r="F178" s="396">
        <f t="shared" si="22"/>
        <v>37850</v>
      </c>
      <c r="G178" s="397" t="str">
        <f t="shared" si="23"/>
        <v>彩</v>
      </c>
      <c r="H178" s="398">
        <f t="shared" si="24"/>
        <v>0.11558784676354</v>
      </c>
      <c r="I178" s="399">
        <f t="shared" si="25"/>
        <v>0.375471598414795</v>
      </c>
      <c r="J178" s="400">
        <f t="shared" si="26"/>
        <v>0.239841479524439</v>
      </c>
      <c r="K178" s="399">
        <f t="shared" si="27"/>
        <v>0.0142668428005284</v>
      </c>
      <c r="L178" s="401">
        <f t="shared" si="28"/>
        <v>0.745167767503303</v>
      </c>
      <c r="M178" s="396">
        <f t="shared" si="29"/>
        <v>4375</v>
      </c>
      <c r="N178" s="396" cm="1">
        <f t="array" ref="N178">SUMPRODUCT($E$186:E215,$F$186:F215)*6</f>
        <v>14211.6</v>
      </c>
      <c r="O178" s="396">
        <v>9078</v>
      </c>
      <c r="P178" s="396">
        <f t="shared" si="30"/>
        <v>540</v>
      </c>
      <c r="Q178" s="398">
        <f t="shared" si="31"/>
        <v>0.745167767503303</v>
      </c>
      <c r="R178" s="402">
        <f ca="1" t="shared" si="32"/>
        <v>52867.9142932629</v>
      </c>
      <c r="S178" s="403">
        <f t="shared" si="33"/>
        <v>2.21</v>
      </c>
      <c r="T178" s="404">
        <f t="shared" si="34"/>
        <v>1.17866666666667</v>
      </c>
      <c r="U178" s="404">
        <f t="shared" si="41"/>
        <v>1.875</v>
      </c>
      <c r="V178" s="405">
        <f t="shared" si="35"/>
        <v>0</v>
      </c>
      <c r="W178" s="404">
        <v>15.1603199999999</v>
      </c>
      <c r="X178" s="404">
        <f ca="1" t="shared" si="36"/>
        <v>1577.94381413931</v>
      </c>
      <c r="Y178" s="406">
        <f>M93</f>
        <v>0</v>
      </c>
      <c r="Z178" s="404">
        <f ca="1">MAX((X178^(1/INT(L93/6))-1)/5,MAX($Z$148:Z177))</f>
        <v>0.672264711045231</v>
      </c>
    </row>
    <row r="179" spans="1:26">
      <c r="A179" s="395"/>
      <c r="D179" s="25">
        <f t="shared" si="20"/>
        <v>430</v>
      </c>
      <c r="E179" s="25">
        <f t="shared" si="21"/>
        <v>241.4</v>
      </c>
      <c r="F179" s="396">
        <f t="shared" si="22"/>
        <v>43850</v>
      </c>
      <c r="G179" s="397" t="str">
        <f t="shared" si="23"/>
        <v>彩</v>
      </c>
      <c r="H179" s="398">
        <f t="shared" si="24"/>
        <v>0.114196123147092</v>
      </c>
      <c r="I179" s="399">
        <f t="shared" si="25"/>
        <v>0.396342075256557</v>
      </c>
      <c r="J179" s="400">
        <f t="shared" si="26"/>
        <v>0.215370581527936</v>
      </c>
      <c r="K179" s="399">
        <f t="shared" si="27"/>
        <v>0.0123147092360319</v>
      </c>
      <c r="L179" s="401">
        <f t="shared" si="28"/>
        <v>0.738223489167617</v>
      </c>
      <c r="M179" s="396">
        <f t="shared" si="29"/>
        <v>5007.5</v>
      </c>
      <c r="N179" s="396" cm="1">
        <f t="array" ref="N179">SUMPRODUCT($E$186:E216,$F$186:F216)*6</f>
        <v>17379.6</v>
      </c>
      <c r="O179" s="396">
        <v>9444</v>
      </c>
      <c r="P179" s="396">
        <f t="shared" si="30"/>
        <v>540</v>
      </c>
      <c r="Q179" s="398">
        <f t="shared" si="31"/>
        <v>0.738223489167617</v>
      </c>
      <c r="R179" s="402">
        <f ca="1" t="shared" si="32"/>
        <v>176589.149874572</v>
      </c>
      <c r="S179" s="403">
        <f t="shared" si="33"/>
        <v>2.24</v>
      </c>
      <c r="T179" s="404">
        <f t="shared" si="34"/>
        <v>1.17894736842105</v>
      </c>
      <c r="U179" s="404">
        <f t="shared" si="41"/>
        <v>1.9</v>
      </c>
      <c r="V179" s="405">
        <f t="shared" si="35"/>
        <v>0</v>
      </c>
      <c r="W179" s="404">
        <v>17.9967999999999</v>
      </c>
      <c r="X179" s="404">
        <f ca="1" t="shared" si="36"/>
        <v>4380.46996734373</v>
      </c>
      <c r="Y179" s="406">
        <f>M94</f>
        <v>0</v>
      </c>
      <c r="Z179" s="404">
        <f ca="1">MAX((X179^(1/INT(L94/6))-1)/5,MAX($Z$148:Z178))</f>
        <v>0.869877704182245</v>
      </c>
    </row>
    <row r="180" spans="1:26">
      <c r="A180" s="395"/>
      <c r="D180" s="25">
        <f t="shared" si="20"/>
        <v>520</v>
      </c>
      <c r="E180" s="25">
        <f t="shared" si="21"/>
        <v>271.1</v>
      </c>
      <c r="F180" s="396">
        <f t="shared" si="22"/>
        <v>52850</v>
      </c>
      <c r="G180" s="397" t="str">
        <f t="shared" si="23"/>
        <v>彩</v>
      </c>
      <c r="H180" s="398">
        <f t="shared" si="24"/>
        <v>0.124124881740776</v>
      </c>
      <c r="I180" s="399">
        <f t="shared" si="25"/>
        <v>0.426936613055818</v>
      </c>
      <c r="J180" s="400">
        <f t="shared" si="26"/>
        <v>0.192658467360454</v>
      </c>
      <c r="K180" s="399">
        <f t="shared" si="27"/>
        <v>0.0102175969725639</v>
      </c>
      <c r="L180" s="401">
        <f t="shared" si="28"/>
        <v>0.753937559129612</v>
      </c>
      <c r="M180" s="396">
        <f t="shared" si="29"/>
        <v>6560</v>
      </c>
      <c r="N180" s="396" cm="1">
        <f t="array" ref="N180">SUMPRODUCT($E$186:E217,$F$186:F217)*6</f>
        <v>22563.6</v>
      </c>
      <c r="O180" s="396">
        <v>10182</v>
      </c>
      <c r="P180" s="396">
        <f t="shared" si="30"/>
        <v>540</v>
      </c>
      <c r="Q180" s="398">
        <f t="shared" si="31"/>
        <v>0.753937559129612</v>
      </c>
      <c r="R180" s="402">
        <f ca="1" t="shared" si="32"/>
        <v>1115326.32289499</v>
      </c>
      <c r="S180" s="403">
        <f t="shared" si="33"/>
        <v>2.27</v>
      </c>
      <c r="T180" s="404">
        <f t="shared" si="34"/>
        <v>1.17922077922078</v>
      </c>
      <c r="U180" s="404">
        <f t="shared" si="41"/>
        <v>1.925</v>
      </c>
      <c r="V180" s="405">
        <f t="shared" si="35"/>
        <v>0</v>
      </c>
      <c r="W180" s="404">
        <v>19.7247999999998</v>
      </c>
      <c r="X180" s="404">
        <f ca="1" t="shared" si="36"/>
        <v>24909.4126121466</v>
      </c>
      <c r="Y180" s="406">
        <f>M95</f>
        <v>0</v>
      </c>
      <c r="Z180" s="404">
        <f ca="1">MAX((X180^(1/INT(L95/6))-1)/5,MAX($Z$148:Z179))</f>
        <v>1.31461653252968</v>
      </c>
    </row>
    <row r="181" spans="1:26">
      <c r="A181" s="395"/>
      <c r="D181" s="25">
        <f t="shared" si="20"/>
        <v>600</v>
      </c>
      <c r="E181" s="25">
        <f t="shared" si="21"/>
        <v>297.5</v>
      </c>
      <c r="F181" s="396">
        <f t="shared" si="22"/>
        <v>60850</v>
      </c>
      <c r="G181" s="397" t="str">
        <f t="shared" si="23"/>
        <v>彩</v>
      </c>
      <c r="H181" s="398">
        <f t="shared" si="24"/>
        <v>0.123377156943303</v>
      </c>
      <c r="I181" s="399">
        <f t="shared" si="25"/>
        <v>0.452844700082169</v>
      </c>
      <c r="J181" s="400">
        <f t="shared" si="26"/>
        <v>0.192374691865242</v>
      </c>
      <c r="K181" s="399">
        <f t="shared" si="27"/>
        <v>0.00887428101889893</v>
      </c>
      <c r="L181" s="401">
        <f t="shared" si="28"/>
        <v>0.777470829909613</v>
      </c>
      <c r="M181" s="396">
        <f t="shared" si="29"/>
        <v>7507.5</v>
      </c>
      <c r="N181" s="396" cm="1">
        <f t="array" ref="N181">SUMPRODUCT($E$186:E218,$F$186:F218)*6</f>
        <v>27555.6</v>
      </c>
      <c r="O181" s="396">
        <v>11706</v>
      </c>
      <c r="P181" s="396">
        <f t="shared" si="30"/>
        <v>540</v>
      </c>
      <c r="Q181" s="398">
        <f t="shared" si="31"/>
        <v>0.777470829909613</v>
      </c>
      <c r="R181" s="402">
        <f ca="1" t="shared" si="32"/>
        <v>5625544.71406738</v>
      </c>
      <c r="S181" s="403">
        <f t="shared" si="33"/>
        <v>2.3</v>
      </c>
      <c r="T181" s="404">
        <f t="shared" si="34"/>
        <v>1.17948717948718</v>
      </c>
      <c r="U181" s="404">
        <f t="shared" si="41"/>
        <v>1.95</v>
      </c>
      <c r="V181" s="405">
        <f t="shared" si="35"/>
        <v>0</v>
      </c>
      <c r="W181" s="404">
        <v>21.4527999999997</v>
      </c>
      <c r="X181" s="404">
        <f ca="1" t="shared" si="36"/>
        <v>118017.496242004</v>
      </c>
      <c r="Y181" s="406">
        <f>M96</f>
        <v>0</v>
      </c>
      <c r="Z181" s="404">
        <f ca="1">MAX((X181^(1/INT(L96/6))-1)/5,MAX($Z$148:Z180))</f>
        <v>1.86737507051573</v>
      </c>
    </row>
    <row r="182" spans="1:26">
      <c r="A182" s="395"/>
      <c r="F182" s="409"/>
      <c r="G182" s="410"/>
      <c r="H182" s="411"/>
      <c r="I182" s="412"/>
      <c r="J182" s="413"/>
      <c r="K182" s="412"/>
      <c r="L182" s="414"/>
      <c r="M182" s="409"/>
      <c r="N182" s="409"/>
      <c r="O182" s="409"/>
      <c r="P182" s="409"/>
      <c r="Q182" s="411"/>
      <c r="R182" s="415"/>
      <c r="S182" s="416"/>
      <c r="T182" s="417"/>
      <c r="U182" s="417"/>
      <c r="V182" s="418"/>
      <c r="W182" s="417"/>
      <c r="X182" s="417"/>
      <c r="Y182" s="419"/>
      <c r="Z182" s="417"/>
    </row>
    <row r="185" spans="1:26">
      <c r="D185" s="348" t="s">
        <v>296</v>
      </c>
      <c r="E185" s="348" t="s">
        <v>383</v>
      </c>
      <c r="F185" s="348" t="s">
        <v>384</v>
      </c>
      <c r="G185" s="348" t="s">
        <v>179</v>
      </c>
      <c r="H185" s="348" t="s">
        <v>373</v>
      </c>
      <c r="I185" s="348" t="s">
        <v>179</v>
      </c>
      <c r="J185" s="348" t="s">
        <v>385</v>
      </c>
      <c r="K185" s="348"/>
      <c r="N185" s="348" t="s">
        <v>386</v>
      </c>
      <c r="O185" s="348" t="s">
        <v>387</v>
      </c>
      <c r="Q185" s="348" t="s">
        <v>388</v>
      </c>
      <c r="R185" s="348" t="s">
        <v>179</v>
      </c>
      <c r="S185" s="348"/>
      <c r="U185" s="348" t="s">
        <v>296</v>
      </c>
      <c r="V185" s="348" t="s">
        <v>376</v>
      </c>
    </row>
    <row r="186" spans="1:26">
      <c r="D186" s="25">
        <f t="shared" ref="D186:D218" si="42">D149</f>
        <v>1</v>
      </c>
      <c r="E186" s="25">
        <f>U64</f>
        <v>10</v>
      </c>
      <c r="F186" s="420">
        <v>3</v>
      </c>
      <c r="G186" s="421"/>
      <c r="H186" s="420">
        <f t="shared" ref="H186:H218" si="43">VLOOKUP(T64,$Q$186:$S$231,3,0)/6*VLOOKUP(V64,$N$186:$O$193,2,0)</f>
        <v>45</v>
      </c>
      <c r="I186" s="25"/>
      <c r="J186" s="25">
        <f t="shared" ref="J186:J218" si="44">F186</f>
        <v>3</v>
      </c>
      <c r="K186" s="422"/>
      <c r="N186" s="421" t="s">
        <v>389</v>
      </c>
      <c r="O186" s="421">
        <v>0.6</v>
      </c>
      <c r="Q186" s="19">
        <v>1</v>
      </c>
      <c r="R186" s="226">
        <f>S187/S186</f>
        <v>1.79640718562874</v>
      </c>
      <c r="S186" s="19">
        <v>167</v>
      </c>
      <c r="U186" s="25">
        <v>1</v>
      </c>
      <c r="V186" s="25">
        <v>72</v>
      </c>
    </row>
    <row r="187" spans="1:26">
      <c r="D187" s="25">
        <f t="shared" si="42"/>
        <v>2</v>
      </c>
      <c r="E187" s="25">
        <f t="shared" ref="E187:E218" si="45">(U65-U64)</f>
        <v>6</v>
      </c>
      <c r="F187" s="420">
        <v>4</v>
      </c>
      <c r="G187" s="421"/>
      <c r="H187" s="420">
        <f t="shared" si="43"/>
        <v>62.1</v>
      </c>
      <c r="I187" s="303">
        <f t="shared" ref="I187:I218" si="46">H187-H186</f>
        <v>17.1</v>
      </c>
      <c r="J187" s="25">
        <f t="shared" si="44"/>
        <v>4</v>
      </c>
      <c r="K187" s="422"/>
      <c r="L187" s="19">
        <f>E187+E186</f>
        <v>16</v>
      </c>
      <c r="N187" s="421" t="s">
        <v>319</v>
      </c>
      <c r="O187" s="421">
        <v>0.75</v>
      </c>
      <c r="Q187" s="19">
        <v>10</v>
      </c>
      <c r="R187" s="226">
        <v>1.15</v>
      </c>
      <c r="S187" s="19">
        <v>300</v>
      </c>
      <c r="U187" s="25">
        <v>2</v>
      </c>
      <c r="V187" s="25">
        <v>108</v>
      </c>
      <c r="W187" s="342"/>
    </row>
    <row r="188" spans="1:26">
      <c r="D188" s="25">
        <f t="shared" si="42"/>
        <v>3</v>
      </c>
      <c r="E188" s="25">
        <f t="shared" si="45"/>
        <v>4</v>
      </c>
      <c r="F188" s="420">
        <v>4</v>
      </c>
      <c r="G188" s="421"/>
      <c r="H188" s="420">
        <f t="shared" si="43"/>
        <v>85.8</v>
      </c>
      <c r="I188" s="303">
        <f t="shared" si="46"/>
        <v>23.7</v>
      </c>
      <c r="J188" s="25">
        <f t="shared" si="44"/>
        <v>4</v>
      </c>
      <c r="K188" s="422"/>
      <c r="L188" s="19">
        <f t="shared" ref="L188:L218" si="47">E188+L187</f>
        <v>20</v>
      </c>
      <c r="N188" s="421" t="s">
        <v>320</v>
      </c>
      <c r="O188" s="421">
        <v>0.9</v>
      </c>
      <c r="Q188" s="19">
        <v>20</v>
      </c>
      <c r="R188" s="226">
        <v>1.15</v>
      </c>
      <c r="S188" s="19">
        <f t="shared" ref="S188:S231" si="48">INT(R188*S187)</f>
        <v>345</v>
      </c>
      <c r="U188" s="25">
        <v>3</v>
      </c>
      <c r="V188" s="25">
        <v>176</v>
      </c>
      <c r="W188" s="342"/>
    </row>
    <row r="189" spans="1:26">
      <c r="D189" s="25">
        <f t="shared" si="42"/>
        <v>4</v>
      </c>
      <c r="E189" s="25">
        <f t="shared" si="45"/>
        <v>4</v>
      </c>
      <c r="F189" s="420">
        <v>5</v>
      </c>
      <c r="G189" s="421"/>
      <c r="H189" s="420">
        <f t="shared" si="43"/>
        <v>85.8</v>
      </c>
      <c r="I189" s="303">
        <f t="shared" si="46"/>
        <v>0</v>
      </c>
      <c r="J189" s="25">
        <f t="shared" si="44"/>
        <v>5</v>
      </c>
      <c r="K189" s="422"/>
      <c r="L189" s="19">
        <f t="shared" si="47"/>
        <v>24</v>
      </c>
      <c r="N189" s="421" t="s">
        <v>323</v>
      </c>
      <c r="O189" s="421">
        <v>1.08</v>
      </c>
      <c r="Q189" s="19">
        <v>30</v>
      </c>
      <c r="R189" s="226">
        <v>1.15</v>
      </c>
      <c r="S189" s="19">
        <f t="shared" si="48"/>
        <v>396</v>
      </c>
      <c r="U189" s="25">
        <v>4</v>
      </c>
      <c r="V189" s="25">
        <v>192</v>
      </c>
      <c r="W189" s="342"/>
    </row>
    <row r="190" spans="1:26">
      <c r="D190" s="25">
        <f t="shared" si="42"/>
        <v>5</v>
      </c>
      <c r="E190" s="25">
        <f t="shared" si="45"/>
        <v>3</v>
      </c>
      <c r="F190" s="420">
        <v>5</v>
      </c>
      <c r="G190" s="421"/>
      <c r="H190" s="420">
        <f t="shared" si="43"/>
        <v>85.8</v>
      </c>
      <c r="I190" s="303">
        <f t="shared" si="46"/>
        <v>0</v>
      </c>
      <c r="J190" s="25">
        <f t="shared" si="44"/>
        <v>5</v>
      </c>
      <c r="K190" s="422"/>
      <c r="L190" s="19">
        <f t="shared" si="47"/>
        <v>27</v>
      </c>
      <c r="N190" s="421" t="s">
        <v>326</v>
      </c>
      <c r="O190" s="421">
        <v>1.3</v>
      </c>
      <c r="Q190" s="19">
        <v>40</v>
      </c>
      <c r="R190" s="226">
        <v>1.15</v>
      </c>
      <c r="S190" s="19">
        <f t="shared" si="48"/>
        <v>455</v>
      </c>
      <c r="U190" s="25">
        <v>5</v>
      </c>
      <c r="V190" s="25">
        <v>208</v>
      </c>
      <c r="W190" s="342"/>
    </row>
    <row r="191" spans="1:26">
      <c r="D191" s="25">
        <f t="shared" si="42"/>
        <v>6</v>
      </c>
      <c r="E191" s="25">
        <f t="shared" si="45"/>
        <v>3</v>
      </c>
      <c r="F191" s="420">
        <v>7</v>
      </c>
      <c r="G191" s="421"/>
      <c r="H191" s="420">
        <f t="shared" si="43"/>
        <v>98.5833333333333</v>
      </c>
      <c r="I191" s="303">
        <f t="shared" si="46"/>
        <v>12.7833333333333</v>
      </c>
      <c r="J191" s="25">
        <f t="shared" si="44"/>
        <v>7</v>
      </c>
      <c r="K191" s="422"/>
      <c r="L191" s="19">
        <f t="shared" si="47"/>
        <v>30</v>
      </c>
      <c r="N191" s="421" t="s">
        <v>334</v>
      </c>
      <c r="O191" s="421">
        <v>1.6</v>
      </c>
      <c r="Q191" s="19">
        <v>50</v>
      </c>
      <c r="R191" s="226">
        <v>1.15</v>
      </c>
      <c r="S191" s="19">
        <f t="shared" si="48"/>
        <v>523</v>
      </c>
      <c r="U191" s="25">
        <v>6</v>
      </c>
      <c r="V191" s="25">
        <v>224</v>
      </c>
      <c r="W191" s="342"/>
    </row>
    <row r="192" spans="1:26">
      <c r="D192" s="25">
        <f t="shared" si="42"/>
        <v>7</v>
      </c>
      <c r="E192" s="25">
        <f t="shared" si="45"/>
        <v>2</v>
      </c>
      <c r="F192" s="420">
        <v>7</v>
      </c>
      <c r="G192" s="421"/>
      <c r="H192" s="420">
        <f t="shared" si="43"/>
        <v>98.5833333333333</v>
      </c>
      <c r="I192" s="303">
        <f t="shared" si="46"/>
        <v>0</v>
      </c>
      <c r="J192" s="25">
        <f t="shared" si="44"/>
        <v>7</v>
      </c>
      <c r="K192" s="422"/>
      <c r="L192" s="19">
        <f t="shared" si="47"/>
        <v>32</v>
      </c>
      <c r="N192" s="421" t="s">
        <v>340</v>
      </c>
      <c r="O192" s="421">
        <v>2</v>
      </c>
      <c r="Q192" s="19">
        <v>55</v>
      </c>
      <c r="R192" s="226">
        <v>1.07</v>
      </c>
      <c r="S192" s="19">
        <f t="shared" si="48"/>
        <v>559</v>
      </c>
      <c r="U192" s="25">
        <v>7</v>
      </c>
      <c r="V192" s="25">
        <v>240</v>
      </c>
      <c r="W192" s="342"/>
    </row>
    <row r="193" spans="4:24">
      <c r="D193" s="25">
        <f t="shared" si="42"/>
        <v>8</v>
      </c>
      <c r="E193" s="25">
        <f t="shared" si="45"/>
        <v>2</v>
      </c>
      <c r="F193" s="420">
        <v>7</v>
      </c>
      <c r="G193" s="421"/>
      <c r="H193" s="420">
        <f t="shared" si="43"/>
        <v>121.333333333333</v>
      </c>
      <c r="I193" s="303">
        <f t="shared" si="46"/>
        <v>22.75</v>
      </c>
      <c r="J193" s="25">
        <f t="shared" si="44"/>
        <v>7</v>
      </c>
      <c r="K193" s="422"/>
      <c r="L193" s="19">
        <f t="shared" si="47"/>
        <v>34</v>
      </c>
      <c r="N193" s="421" t="s">
        <v>344</v>
      </c>
      <c r="O193" s="421">
        <v>2.5</v>
      </c>
      <c r="Q193" s="19">
        <v>60</v>
      </c>
      <c r="R193" s="226">
        <v>1.07</v>
      </c>
      <c r="S193" s="19">
        <f t="shared" si="48"/>
        <v>598</v>
      </c>
      <c r="U193" s="25">
        <v>8</v>
      </c>
      <c r="V193" s="25">
        <v>240</v>
      </c>
      <c r="W193" s="342"/>
    </row>
    <row r="194" spans="4:24">
      <c r="D194" s="25">
        <f t="shared" si="42"/>
        <v>9</v>
      </c>
      <c r="E194" s="25">
        <f t="shared" si="45"/>
        <v>2</v>
      </c>
      <c r="F194" s="420">
        <v>7</v>
      </c>
      <c r="G194" s="421"/>
      <c r="H194" s="420">
        <f t="shared" si="43"/>
        <v>121.333333333333</v>
      </c>
      <c r="I194" s="303">
        <f t="shared" si="46"/>
        <v>0</v>
      </c>
      <c r="J194" s="25">
        <f t="shared" si="44"/>
        <v>7</v>
      </c>
      <c r="K194" s="422"/>
      <c r="L194" s="19">
        <f t="shared" si="47"/>
        <v>36</v>
      </c>
      <c r="Q194" s="19">
        <v>65</v>
      </c>
      <c r="R194" s="226">
        <v>1.07</v>
      </c>
      <c r="S194" s="19">
        <f t="shared" si="48"/>
        <v>639</v>
      </c>
      <c r="U194" s="25">
        <v>9</v>
      </c>
      <c r="V194" s="25">
        <v>240</v>
      </c>
      <c r="W194" s="342"/>
    </row>
    <row r="195" spans="4:24">
      <c r="D195" s="25">
        <f t="shared" si="42"/>
        <v>10</v>
      </c>
      <c r="E195" s="25">
        <f t="shared" si="45"/>
        <v>2</v>
      </c>
      <c r="F195" s="420">
        <v>7</v>
      </c>
      <c r="G195" s="421"/>
      <c r="H195" s="420">
        <f t="shared" si="43"/>
        <v>121.333333333333</v>
      </c>
      <c r="I195" s="303">
        <f t="shared" si="46"/>
        <v>0</v>
      </c>
      <c r="J195" s="25">
        <f t="shared" si="44"/>
        <v>7</v>
      </c>
      <c r="K195" s="422"/>
      <c r="L195" s="19">
        <f t="shared" si="47"/>
        <v>38</v>
      </c>
      <c r="Q195" s="19">
        <v>70</v>
      </c>
      <c r="R195" s="226">
        <v>1.07</v>
      </c>
      <c r="S195" s="19">
        <f t="shared" si="48"/>
        <v>683</v>
      </c>
      <c r="U195" s="25">
        <v>10</v>
      </c>
      <c r="V195" s="25">
        <v>240</v>
      </c>
      <c r="W195" s="342"/>
    </row>
    <row r="196" spans="4:24">
      <c r="D196" s="25">
        <f t="shared" si="42"/>
        <v>11</v>
      </c>
      <c r="E196" s="25">
        <f t="shared" si="45"/>
        <v>2</v>
      </c>
      <c r="F196" s="420">
        <v>8</v>
      </c>
      <c r="G196" s="421"/>
      <c r="H196" s="420">
        <f t="shared" si="43"/>
        <v>139.466666666667</v>
      </c>
      <c r="I196" s="303">
        <f t="shared" si="46"/>
        <v>18.1333333333333</v>
      </c>
      <c r="J196" s="25">
        <f t="shared" si="44"/>
        <v>8</v>
      </c>
      <c r="K196" s="422"/>
      <c r="L196" s="19">
        <f t="shared" si="47"/>
        <v>40</v>
      </c>
      <c r="Q196" s="19">
        <v>75</v>
      </c>
      <c r="R196" s="226">
        <v>1.07</v>
      </c>
      <c r="S196" s="19">
        <f t="shared" si="48"/>
        <v>730</v>
      </c>
      <c r="U196" s="25">
        <v>11</v>
      </c>
      <c r="V196" s="25">
        <v>240</v>
      </c>
      <c r="W196" s="342"/>
    </row>
    <row r="197" spans="4:24">
      <c r="D197" s="25">
        <f t="shared" si="42"/>
        <v>12</v>
      </c>
      <c r="E197" s="25">
        <f t="shared" si="45"/>
        <v>2</v>
      </c>
      <c r="F197" s="420">
        <v>8</v>
      </c>
      <c r="G197" s="421"/>
      <c r="H197" s="420">
        <f t="shared" si="43"/>
        <v>139.466666666667</v>
      </c>
      <c r="I197" s="303">
        <f t="shared" si="46"/>
        <v>0</v>
      </c>
      <c r="J197" s="25">
        <f t="shared" si="44"/>
        <v>8</v>
      </c>
      <c r="K197" s="422"/>
      <c r="L197" s="19">
        <f t="shared" si="47"/>
        <v>42</v>
      </c>
      <c r="Q197" s="19">
        <v>80</v>
      </c>
      <c r="R197" s="226">
        <v>1.07</v>
      </c>
      <c r="S197" s="19">
        <f t="shared" si="48"/>
        <v>781</v>
      </c>
      <c r="U197" s="25">
        <v>12</v>
      </c>
      <c r="V197" s="25">
        <v>240</v>
      </c>
      <c r="W197" s="342"/>
    </row>
    <row r="198" spans="4:24">
      <c r="D198" s="25">
        <f t="shared" si="42"/>
        <v>13</v>
      </c>
      <c r="E198" s="25">
        <f t="shared" si="45"/>
        <v>2</v>
      </c>
      <c r="F198" s="420">
        <v>8</v>
      </c>
      <c r="G198" s="421"/>
      <c r="H198" s="420">
        <f t="shared" si="43"/>
        <v>139.466666666667</v>
      </c>
      <c r="I198" s="303">
        <f t="shared" si="46"/>
        <v>0</v>
      </c>
      <c r="J198" s="25">
        <f t="shared" si="44"/>
        <v>8</v>
      </c>
      <c r="K198" s="422"/>
      <c r="L198" s="19">
        <f t="shared" si="47"/>
        <v>44</v>
      </c>
      <c r="Q198" s="19">
        <v>85</v>
      </c>
      <c r="R198" s="226">
        <v>1.07</v>
      </c>
      <c r="S198" s="19">
        <f t="shared" si="48"/>
        <v>835</v>
      </c>
      <c r="U198" s="25">
        <v>13</v>
      </c>
      <c r="V198" s="25">
        <v>240</v>
      </c>
      <c r="W198" s="342"/>
    </row>
    <row r="199" spans="4:24">
      <c r="D199" s="25">
        <f t="shared" si="42"/>
        <v>14</v>
      </c>
      <c r="E199" s="25">
        <f t="shared" si="45"/>
        <v>1</v>
      </c>
      <c r="F199" s="420">
        <v>8</v>
      </c>
      <c r="G199" s="421"/>
      <c r="H199" s="420">
        <f t="shared" si="43"/>
        <v>139.466666666667</v>
      </c>
      <c r="I199" s="303">
        <f t="shared" si="46"/>
        <v>0</v>
      </c>
      <c r="J199" s="25">
        <f t="shared" si="44"/>
        <v>8</v>
      </c>
      <c r="K199" s="422"/>
      <c r="L199" s="19">
        <f t="shared" si="47"/>
        <v>45</v>
      </c>
      <c r="Q199" s="19">
        <v>90</v>
      </c>
      <c r="R199" s="226">
        <v>1.07</v>
      </c>
      <c r="S199" s="19">
        <f t="shared" si="48"/>
        <v>893</v>
      </c>
      <c r="U199" s="25">
        <v>14</v>
      </c>
      <c r="V199" s="25">
        <v>240</v>
      </c>
      <c r="W199" s="342"/>
    </row>
    <row r="200" spans="4:24">
      <c r="D200" s="25">
        <f t="shared" si="42"/>
        <v>15</v>
      </c>
      <c r="E200" s="25">
        <f t="shared" si="45"/>
        <v>1</v>
      </c>
      <c r="F200" s="420">
        <v>8</v>
      </c>
      <c r="G200" s="421"/>
      <c r="H200" s="420">
        <f t="shared" si="43"/>
        <v>139.466666666667</v>
      </c>
      <c r="I200" s="303">
        <f t="shared" si="46"/>
        <v>0</v>
      </c>
      <c r="J200" s="25">
        <f t="shared" si="44"/>
        <v>8</v>
      </c>
      <c r="K200" s="422"/>
      <c r="L200" s="19">
        <f t="shared" si="47"/>
        <v>46</v>
      </c>
      <c r="Q200" s="19">
        <v>95</v>
      </c>
      <c r="R200" s="226">
        <v>1.07</v>
      </c>
      <c r="S200" s="19">
        <f t="shared" si="48"/>
        <v>955</v>
      </c>
      <c r="U200" s="25">
        <v>15</v>
      </c>
      <c r="V200" s="25">
        <v>360</v>
      </c>
      <c r="W200" s="342"/>
    </row>
    <row r="201" spans="4:24">
      <c r="D201" s="25">
        <f t="shared" si="42"/>
        <v>16</v>
      </c>
      <c r="E201" s="25">
        <f t="shared" si="45"/>
        <v>1</v>
      </c>
      <c r="F201" s="420">
        <v>8</v>
      </c>
      <c r="G201" s="421"/>
      <c r="H201" s="420">
        <f t="shared" si="43"/>
        <v>139.466666666667</v>
      </c>
      <c r="I201" s="303">
        <f t="shared" si="46"/>
        <v>0</v>
      </c>
      <c r="J201" s="25">
        <f t="shared" si="44"/>
        <v>8</v>
      </c>
      <c r="K201" s="422"/>
      <c r="L201" s="19">
        <f t="shared" si="47"/>
        <v>47</v>
      </c>
      <c r="Q201" s="19">
        <v>100</v>
      </c>
      <c r="R201" s="226">
        <v>1.07</v>
      </c>
      <c r="S201" s="19">
        <f t="shared" si="48"/>
        <v>1021</v>
      </c>
      <c r="U201" s="25">
        <v>16</v>
      </c>
      <c r="V201" s="25">
        <v>360</v>
      </c>
      <c r="W201" s="342"/>
    </row>
    <row r="202" spans="4:24">
      <c r="D202" s="25">
        <f t="shared" si="42"/>
        <v>20</v>
      </c>
      <c r="E202" s="25">
        <f t="shared" si="45"/>
        <v>4</v>
      </c>
      <c r="F202" s="420">
        <v>8</v>
      </c>
      <c r="G202" s="421"/>
      <c r="H202" s="420">
        <f t="shared" si="43"/>
        <v>149.066666666667</v>
      </c>
      <c r="I202" s="303">
        <f t="shared" si="46"/>
        <v>9.60000000000002</v>
      </c>
      <c r="J202" s="25">
        <f t="shared" si="44"/>
        <v>8</v>
      </c>
      <c r="K202" s="422"/>
      <c r="L202" s="19">
        <f t="shared" si="47"/>
        <v>51</v>
      </c>
      <c r="Q202" s="19">
        <v>105</v>
      </c>
      <c r="R202" s="226">
        <v>1.07</v>
      </c>
      <c r="S202" s="19">
        <f t="shared" si="48"/>
        <v>1092</v>
      </c>
      <c r="U202" s="25">
        <v>20</v>
      </c>
      <c r="V202" s="25">
        <v>360</v>
      </c>
      <c r="W202" s="342"/>
    </row>
    <row r="203" spans="4:24">
      <c r="D203" s="25">
        <f t="shared" si="42"/>
        <v>27</v>
      </c>
      <c r="E203" s="25">
        <f t="shared" si="45"/>
        <v>7</v>
      </c>
      <c r="F203" s="420">
        <v>8</v>
      </c>
      <c r="G203" s="421"/>
      <c r="H203" s="420">
        <f t="shared" si="43"/>
        <v>199.333333333333</v>
      </c>
      <c r="I203" s="303">
        <f t="shared" si="46"/>
        <v>50.2666666666667</v>
      </c>
      <c r="J203" s="25">
        <f t="shared" si="44"/>
        <v>8</v>
      </c>
      <c r="K203" s="422"/>
      <c r="L203" s="19">
        <f t="shared" si="47"/>
        <v>58</v>
      </c>
      <c r="Q203" s="19">
        <v>110</v>
      </c>
      <c r="R203" s="226">
        <v>1.07</v>
      </c>
      <c r="S203" s="19">
        <f t="shared" si="48"/>
        <v>1168</v>
      </c>
      <c r="U203" s="25">
        <v>27</v>
      </c>
      <c r="V203" s="25">
        <v>360</v>
      </c>
      <c r="W203" s="342"/>
    </row>
    <row r="204" spans="4:24">
      <c r="D204" s="25">
        <f t="shared" si="42"/>
        <v>34</v>
      </c>
      <c r="E204" s="25">
        <f t="shared" si="45"/>
        <v>4.9</v>
      </c>
      <c r="F204" s="420">
        <v>10</v>
      </c>
      <c r="G204" s="421"/>
      <c r="H204" s="420">
        <f t="shared" si="43"/>
        <v>213</v>
      </c>
      <c r="I204" s="303">
        <f t="shared" si="46"/>
        <v>13.6666666666667</v>
      </c>
      <c r="J204" s="25">
        <f t="shared" si="44"/>
        <v>10</v>
      </c>
      <c r="K204" s="422"/>
      <c r="L204" s="19">
        <f t="shared" si="47"/>
        <v>62.9</v>
      </c>
      <c r="Q204" s="19">
        <v>115</v>
      </c>
      <c r="R204" s="226">
        <v>1.07</v>
      </c>
      <c r="S204" s="19">
        <f t="shared" si="48"/>
        <v>1249</v>
      </c>
      <c r="U204" s="25">
        <v>34</v>
      </c>
      <c r="V204" s="25">
        <v>360</v>
      </c>
      <c r="W204" s="342"/>
    </row>
    <row r="205" spans="4:24">
      <c r="D205" s="25">
        <f t="shared" si="42"/>
        <v>41</v>
      </c>
      <c r="E205" s="25">
        <f t="shared" si="45"/>
        <v>4.9</v>
      </c>
      <c r="F205" s="420">
        <v>10</v>
      </c>
      <c r="G205" s="421"/>
      <c r="H205" s="420">
        <f t="shared" si="43"/>
        <v>227.666666666667</v>
      </c>
      <c r="I205" s="303">
        <f t="shared" si="46"/>
        <v>14.6666666666667</v>
      </c>
      <c r="J205" s="25">
        <f t="shared" si="44"/>
        <v>10</v>
      </c>
      <c r="K205" s="422"/>
      <c r="L205" s="19">
        <f t="shared" si="47"/>
        <v>67.8</v>
      </c>
      <c r="Q205" s="19">
        <v>120</v>
      </c>
      <c r="R205" s="226">
        <v>1.07</v>
      </c>
      <c r="S205" s="19">
        <f t="shared" si="48"/>
        <v>1336</v>
      </c>
      <c r="U205" s="25">
        <v>41</v>
      </c>
      <c r="V205" s="25">
        <v>360</v>
      </c>
      <c r="W205" s="342"/>
    </row>
    <row r="206" spans="4:24">
      <c r="D206" s="25">
        <f t="shared" si="42"/>
        <v>48</v>
      </c>
      <c r="E206" s="25">
        <f t="shared" si="45"/>
        <v>4.90000000000001</v>
      </c>
      <c r="F206" s="420">
        <v>10</v>
      </c>
      <c r="G206" s="421"/>
      <c r="H206" s="420">
        <f t="shared" si="43"/>
        <v>243.333333333333</v>
      </c>
      <c r="I206" s="303">
        <f t="shared" si="46"/>
        <v>15.6666666666667</v>
      </c>
      <c r="J206" s="25">
        <f t="shared" si="44"/>
        <v>10</v>
      </c>
      <c r="K206" s="422"/>
      <c r="L206" s="19">
        <f t="shared" si="47"/>
        <v>72.7</v>
      </c>
      <c r="Q206" s="19">
        <v>125</v>
      </c>
      <c r="R206" s="226">
        <v>1.07</v>
      </c>
      <c r="S206" s="19">
        <f t="shared" si="48"/>
        <v>1429</v>
      </c>
      <c r="U206" s="25">
        <v>48</v>
      </c>
      <c r="V206" s="25">
        <v>360</v>
      </c>
      <c r="W206" s="342"/>
    </row>
    <row r="207" spans="4:24">
      <c r="D207" s="25">
        <f t="shared" si="42"/>
        <v>55</v>
      </c>
      <c r="E207" s="25">
        <f t="shared" si="45"/>
        <v>4.90000000000001</v>
      </c>
      <c r="F207" s="420">
        <v>12</v>
      </c>
      <c r="G207" s="421"/>
      <c r="H207" s="420">
        <f t="shared" si="43"/>
        <v>260.333333333333</v>
      </c>
      <c r="I207" s="303">
        <f t="shared" si="46"/>
        <v>17</v>
      </c>
      <c r="J207" s="25">
        <f t="shared" si="44"/>
        <v>12</v>
      </c>
      <c r="K207" s="422"/>
      <c r="L207" s="19">
        <f t="shared" si="47"/>
        <v>77.6</v>
      </c>
      <c r="Q207" s="19">
        <v>130</v>
      </c>
      <c r="R207" s="226">
        <v>1.07</v>
      </c>
      <c r="S207" s="19">
        <f t="shared" si="48"/>
        <v>1529</v>
      </c>
      <c r="U207" s="25">
        <v>55</v>
      </c>
      <c r="V207" s="25">
        <v>360</v>
      </c>
      <c r="W207" s="342"/>
      <c r="X207" s="19" t="s">
        <v>390</v>
      </c>
    </row>
    <row r="208" spans="4:24">
      <c r="D208" s="25">
        <f t="shared" si="42"/>
        <v>62</v>
      </c>
      <c r="E208" s="25">
        <f t="shared" si="45"/>
        <v>2.8</v>
      </c>
      <c r="F208" s="420">
        <v>12</v>
      </c>
      <c r="G208" s="421"/>
      <c r="H208" s="420">
        <f t="shared" si="43"/>
        <v>260.333333333333</v>
      </c>
      <c r="I208" s="303">
        <f t="shared" si="46"/>
        <v>0</v>
      </c>
      <c r="J208" s="25">
        <f t="shared" si="44"/>
        <v>12</v>
      </c>
      <c r="K208" s="422"/>
      <c r="L208" s="19">
        <f t="shared" si="47"/>
        <v>80.4</v>
      </c>
      <c r="Q208" s="19">
        <v>135</v>
      </c>
      <c r="R208" s="226">
        <v>1.07</v>
      </c>
      <c r="S208" s="19">
        <f t="shared" si="48"/>
        <v>1636</v>
      </c>
      <c r="U208" s="25">
        <v>62</v>
      </c>
      <c r="V208" s="25">
        <v>450</v>
      </c>
      <c r="W208" s="342"/>
      <c r="X208" s="19" t="s">
        <v>391</v>
      </c>
    </row>
    <row r="209" spans="4:23">
      <c r="D209" s="25">
        <f t="shared" si="42"/>
        <v>90</v>
      </c>
      <c r="E209" s="25">
        <f t="shared" si="45"/>
        <v>11.2</v>
      </c>
      <c r="F209" s="420">
        <v>16</v>
      </c>
      <c r="G209" s="421"/>
      <c r="H209" s="420">
        <f t="shared" si="43"/>
        <v>297.666666666667</v>
      </c>
      <c r="I209" s="303">
        <f t="shared" si="46"/>
        <v>37.3333333333334</v>
      </c>
      <c r="J209" s="25">
        <f t="shared" si="44"/>
        <v>16</v>
      </c>
      <c r="K209" s="422"/>
      <c r="L209" s="19">
        <f t="shared" si="47"/>
        <v>91.6</v>
      </c>
      <c r="Q209" s="19">
        <v>140</v>
      </c>
      <c r="R209" s="226">
        <v>1.07</v>
      </c>
      <c r="S209" s="19">
        <f t="shared" si="48"/>
        <v>1750</v>
      </c>
      <c r="U209" s="25">
        <v>90</v>
      </c>
      <c r="V209" s="25">
        <v>450</v>
      </c>
      <c r="W209" s="342"/>
    </row>
    <row r="210" spans="4:23">
      <c r="D210" s="25">
        <f t="shared" si="42"/>
        <v>120</v>
      </c>
      <c r="E210" s="25">
        <f t="shared" si="45"/>
        <v>6</v>
      </c>
      <c r="F210" s="420">
        <v>20</v>
      </c>
      <c r="G210" s="421"/>
      <c r="H210" s="420">
        <f t="shared" si="43"/>
        <v>397.916666666667</v>
      </c>
      <c r="I210" s="303">
        <f t="shared" si="46"/>
        <v>100.25</v>
      </c>
      <c r="J210" s="25">
        <f t="shared" si="44"/>
        <v>20</v>
      </c>
      <c r="K210" s="422"/>
      <c r="L210" s="19">
        <f t="shared" si="47"/>
        <v>97.6</v>
      </c>
      <c r="Q210" s="19">
        <v>145</v>
      </c>
      <c r="R210" s="226">
        <v>1.07</v>
      </c>
      <c r="S210" s="19">
        <f t="shared" si="48"/>
        <v>1872</v>
      </c>
      <c r="U210" s="25">
        <v>120</v>
      </c>
      <c r="V210" s="25">
        <v>450</v>
      </c>
      <c r="W210" s="342"/>
    </row>
    <row r="211" spans="4:23">
      <c r="D211" s="25">
        <f t="shared" si="42"/>
        <v>150</v>
      </c>
      <c r="E211" s="25">
        <f t="shared" si="45"/>
        <v>6</v>
      </c>
      <c r="F211" s="420">
        <v>20</v>
      </c>
      <c r="G211" s="421"/>
      <c r="H211" s="420">
        <f t="shared" si="43"/>
        <v>425.416666666667</v>
      </c>
      <c r="I211" s="303">
        <f t="shared" si="46"/>
        <v>27.5</v>
      </c>
      <c r="J211" s="25">
        <f t="shared" si="44"/>
        <v>20</v>
      </c>
      <c r="K211" s="422"/>
      <c r="L211" s="19">
        <f t="shared" si="47"/>
        <v>103.6</v>
      </c>
      <c r="Q211" s="19">
        <v>150</v>
      </c>
      <c r="R211" s="226">
        <v>1.07</v>
      </c>
      <c r="S211" s="19">
        <f t="shared" si="48"/>
        <v>2003</v>
      </c>
      <c r="U211" s="25">
        <v>150</v>
      </c>
      <c r="V211" s="25">
        <v>450</v>
      </c>
      <c r="W211" s="342"/>
    </row>
    <row r="212" spans="4:23">
      <c r="D212" s="25">
        <f t="shared" si="42"/>
        <v>190</v>
      </c>
      <c r="E212" s="25">
        <f t="shared" si="45"/>
        <v>8</v>
      </c>
      <c r="F212" s="420">
        <v>24</v>
      </c>
      <c r="G212" s="421"/>
      <c r="H212" s="420">
        <f t="shared" si="43"/>
        <v>486.666666666667</v>
      </c>
      <c r="I212" s="303">
        <f t="shared" si="46"/>
        <v>61.25</v>
      </c>
      <c r="J212" s="25">
        <f t="shared" si="44"/>
        <v>24</v>
      </c>
      <c r="K212" s="422"/>
      <c r="L212" s="19">
        <f t="shared" si="47"/>
        <v>111.6</v>
      </c>
      <c r="Q212" s="19">
        <v>155</v>
      </c>
      <c r="R212" s="226">
        <v>1.07</v>
      </c>
      <c r="S212" s="19">
        <f t="shared" si="48"/>
        <v>2143</v>
      </c>
      <c r="U212" s="25">
        <v>190</v>
      </c>
      <c r="V212" s="25">
        <v>450</v>
      </c>
      <c r="W212" s="342"/>
    </row>
    <row r="213" spans="4:23">
      <c r="D213" s="25">
        <f t="shared" si="42"/>
        <v>250</v>
      </c>
      <c r="E213" s="25">
        <f t="shared" si="45"/>
        <v>12</v>
      </c>
      <c r="F213" s="420">
        <v>28</v>
      </c>
      <c r="G213" s="421"/>
      <c r="H213" s="420">
        <f t="shared" si="43"/>
        <v>556.666666666667</v>
      </c>
      <c r="I213" s="303">
        <f t="shared" si="46"/>
        <v>70</v>
      </c>
      <c r="J213" s="25">
        <f t="shared" si="44"/>
        <v>28</v>
      </c>
      <c r="K213" s="422"/>
      <c r="L213" s="19">
        <f t="shared" si="47"/>
        <v>123.6</v>
      </c>
      <c r="Q213" s="19">
        <v>160</v>
      </c>
      <c r="R213" s="226">
        <v>1.07</v>
      </c>
      <c r="S213" s="19">
        <f t="shared" si="48"/>
        <v>2293</v>
      </c>
      <c r="U213" s="25">
        <v>250</v>
      </c>
      <c r="V213" s="25">
        <v>540</v>
      </c>
      <c r="W213" s="342"/>
    </row>
    <row r="214" spans="4:23">
      <c r="D214" s="25">
        <f t="shared" si="42"/>
        <v>310</v>
      </c>
      <c r="E214" s="25">
        <f t="shared" si="45"/>
        <v>12</v>
      </c>
      <c r="F214" s="420">
        <v>32</v>
      </c>
      <c r="G214" s="421"/>
      <c r="H214" s="420">
        <f t="shared" si="43"/>
        <v>637.083333333333</v>
      </c>
      <c r="I214" s="303">
        <f t="shared" si="46"/>
        <v>80.4166666666667</v>
      </c>
      <c r="J214" s="25">
        <f t="shared" si="44"/>
        <v>32</v>
      </c>
      <c r="K214" s="422"/>
      <c r="L214" s="19">
        <f t="shared" si="47"/>
        <v>135.6</v>
      </c>
      <c r="Q214" s="19">
        <v>165</v>
      </c>
      <c r="R214" s="226">
        <v>1.07</v>
      </c>
      <c r="S214" s="19">
        <f t="shared" si="48"/>
        <v>2453</v>
      </c>
      <c r="U214" s="25">
        <v>310</v>
      </c>
      <c r="V214" s="25">
        <v>540</v>
      </c>
      <c r="W214" s="342"/>
    </row>
    <row r="215" spans="4:23">
      <c r="D215" s="25">
        <f t="shared" si="42"/>
        <v>370</v>
      </c>
      <c r="E215" s="25">
        <f t="shared" si="45"/>
        <v>12</v>
      </c>
      <c r="F215" s="420">
        <v>38</v>
      </c>
      <c r="G215" s="421"/>
      <c r="H215" s="420">
        <f t="shared" si="43"/>
        <v>729.166666666667</v>
      </c>
      <c r="I215" s="303">
        <f t="shared" si="46"/>
        <v>92.0833333333334</v>
      </c>
      <c r="J215" s="25">
        <f t="shared" si="44"/>
        <v>38</v>
      </c>
      <c r="K215" s="422"/>
      <c r="L215" s="19">
        <f t="shared" si="47"/>
        <v>147.6</v>
      </c>
      <c r="Q215" s="19">
        <v>170</v>
      </c>
      <c r="R215" s="226">
        <v>1.07</v>
      </c>
      <c r="S215" s="19">
        <f t="shared" si="48"/>
        <v>2624</v>
      </c>
      <c r="U215" s="25">
        <v>370</v>
      </c>
      <c r="V215" s="25">
        <v>540</v>
      </c>
      <c r="W215" s="342"/>
    </row>
    <row r="216" spans="4:23">
      <c r="D216" s="25">
        <f t="shared" si="42"/>
        <v>430</v>
      </c>
      <c r="E216" s="25">
        <f t="shared" si="45"/>
        <v>12</v>
      </c>
      <c r="F216" s="420">
        <v>44</v>
      </c>
      <c r="G216" s="421"/>
      <c r="H216" s="420">
        <f t="shared" si="43"/>
        <v>834.583333333333</v>
      </c>
      <c r="I216" s="303">
        <f t="shared" si="46"/>
        <v>105.416666666667</v>
      </c>
      <c r="J216" s="25">
        <f t="shared" si="44"/>
        <v>44</v>
      </c>
      <c r="K216" s="422"/>
      <c r="L216" s="19">
        <f t="shared" si="47"/>
        <v>159.6</v>
      </c>
      <c r="N216" s="279"/>
      <c r="Q216" s="19">
        <v>175</v>
      </c>
      <c r="R216" s="226">
        <v>1.07</v>
      </c>
      <c r="S216" s="19">
        <f t="shared" si="48"/>
        <v>2807</v>
      </c>
      <c r="U216" s="25">
        <v>430</v>
      </c>
      <c r="V216" s="25">
        <v>540</v>
      </c>
      <c r="W216" s="342"/>
    </row>
    <row r="217" spans="4:23">
      <c r="D217" s="25">
        <f t="shared" si="42"/>
        <v>520</v>
      </c>
      <c r="E217" s="25">
        <f t="shared" si="45"/>
        <v>18</v>
      </c>
      <c r="F217" s="420">
        <v>48</v>
      </c>
      <c r="G217" s="421"/>
      <c r="H217" s="420">
        <f t="shared" si="43"/>
        <v>1093.33333333333</v>
      </c>
      <c r="I217" s="303">
        <f t="shared" si="46"/>
        <v>258.75</v>
      </c>
      <c r="J217" s="25">
        <f t="shared" si="44"/>
        <v>48</v>
      </c>
      <c r="K217" s="422"/>
      <c r="L217" s="19">
        <f t="shared" si="47"/>
        <v>177.6</v>
      </c>
      <c r="Q217" s="19">
        <v>180</v>
      </c>
      <c r="R217" s="226">
        <v>1.07</v>
      </c>
      <c r="S217" s="19">
        <f t="shared" si="48"/>
        <v>3003</v>
      </c>
      <c r="U217" s="25">
        <v>520</v>
      </c>
      <c r="V217" s="25">
        <v>540</v>
      </c>
      <c r="W217" s="342"/>
    </row>
    <row r="218" spans="4:23">
      <c r="D218" s="25">
        <f t="shared" si="42"/>
        <v>600</v>
      </c>
      <c r="E218" s="25">
        <f t="shared" si="45"/>
        <v>16</v>
      </c>
      <c r="F218" s="420">
        <v>52</v>
      </c>
      <c r="G218" s="421"/>
      <c r="H218" s="420">
        <f t="shared" si="43"/>
        <v>1251.25</v>
      </c>
      <c r="I218" s="303">
        <f t="shared" si="46"/>
        <v>157.916666666667</v>
      </c>
      <c r="J218" s="25">
        <f t="shared" si="44"/>
        <v>52</v>
      </c>
      <c r="K218" s="422"/>
      <c r="L218" s="19">
        <f t="shared" si="47"/>
        <v>193.6</v>
      </c>
      <c r="Q218" s="19">
        <v>185</v>
      </c>
      <c r="R218" s="226">
        <v>1.07</v>
      </c>
      <c r="S218" s="19">
        <f t="shared" si="48"/>
        <v>3213</v>
      </c>
      <c r="U218" s="25">
        <v>610</v>
      </c>
      <c r="V218" s="25">
        <v>540</v>
      </c>
      <c r="W218" s="342"/>
    </row>
    <row r="219" spans="4:23">
      <c r="N219" s="392"/>
      <c r="Q219" s="19">
        <v>190</v>
      </c>
      <c r="R219" s="226">
        <v>1.07</v>
      </c>
      <c r="S219" s="19">
        <f t="shared" si="48"/>
        <v>3437</v>
      </c>
    </row>
    <row r="220" spans="4:23">
      <c r="E220" s="384"/>
      <c r="F220" s="384"/>
      <c r="M220" s="392"/>
      <c r="N220" s="423"/>
      <c r="Q220" s="19">
        <v>195</v>
      </c>
      <c r="R220" s="226">
        <v>1.07</v>
      </c>
      <c r="S220" s="19">
        <f t="shared" si="48"/>
        <v>3677</v>
      </c>
    </row>
    <row r="221" spans="4:23">
      <c r="E221" s="384"/>
      <c r="K221" s="269"/>
      <c r="M221" s="392"/>
      <c r="Q221" s="19">
        <v>200</v>
      </c>
      <c r="R221" s="226">
        <v>1.07</v>
      </c>
      <c r="S221" s="19">
        <f t="shared" si="48"/>
        <v>3934</v>
      </c>
    </row>
    <row r="222" spans="4:23">
      <c r="E222" s="384"/>
      <c r="K222" s="269"/>
      <c r="M222" s="392"/>
      <c r="Q222" s="19">
        <v>205</v>
      </c>
      <c r="R222" s="226">
        <v>1.07</v>
      </c>
      <c r="S222" s="19">
        <f t="shared" si="48"/>
        <v>4209</v>
      </c>
    </row>
    <row r="223" spans="4:23">
      <c r="E223" s="384"/>
      <c r="K223" s="269"/>
      <c r="M223" s="392"/>
      <c r="Q223" s="19">
        <v>210</v>
      </c>
      <c r="R223" s="226">
        <v>1.07</v>
      </c>
      <c r="S223" s="19">
        <f t="shared" si="48"/>
        <v>4503</v>
      </c>
    </row>
    <row r="224" spans="4:23">
      <c r="E224" s="384"/>
      <c r="K224" s="269"/>
      <c r="M224" s="392"/>
      <c r="Q224" s="19">
        <v>215</v>
      </c>
      <c r="R224" s="226">
        <v>1.07</v>
      </c>
      <c r="S224" s="19">
        <f t="shared" si="48"/>
        <v>4818</v>
      </c>
    </row>
    <row r="225" spans="1:26">
      <c r="E225" s="384"/>
      <c r="K225" s="269"/>
      <c r="M225" s="392"/>
      <c r="Q225" s="19">
        <v>220</v>
      </c>
      <c r="R225" s="226">
        <v>1.07</v>
      </c>
      <c r="S225" s="19">
        <f t="shared" si="48"/>
        <v>5155</v>
      </c>
    </row>
    <row r="226" spans="1:26">
      <c r="E226" s="384"/>
      <c r="K226" s="269"/>
      <c r="M226" s="392"/>
      <c r="Q226" s="19">
        <v>225</v>
      </c>
      <c r="R226" s="226">
        <v>1.07</v>
      </c>
      <c r="S226" s="19">
        <f t="shared" si="48"/>
        <v>5515</v>
      </c>
    </row>
    <row r="227" spans="1:26">
      <c r="E227" s="384"/>
      <c r="K227" s="269"/>
      <c r="M227" s="392"/>
      <c r="Q227" s="19">
        <v>230</v>
      </c>
      <c r="R227" s="226">
        <v>1.07</v>
      </c>
      <c r="S227" s="19">
        <f t="shared" si="48"/>
        <v>5901</v>
      </c>
    </row>
    <row r="228" spans="1:26">
      <c r="E228" s="384"/>
      <c r="K228" s="269"/>
      <c r="M228" s="392"/>
      <c r="Q228" s="19">
        <v>235</v>
      </c>
      <c r="R228" s="226">
        <v>1.07</v>
      </c>
      <c r="S228" s="19">
        <f t="shared" si="48"/>
        <v>6314</v>
      </c>
    </row>
    <row r="229" spans="1:26">
      <c r="E229" s="384"/>
      <c r="K229" s="269"/>
      <c r="M229" s="392"/>
      <c r="Q229" s="19">
        <v>240</v>
      </c>
      <c r="R229" s="226">
        <v>1.07</v>
      </c>
      <c r="S229" s="19">
        <f t="shared" si="48"/>
        <v>6755</v>
      </c>
    </row>
    <row r="230" spans="1:26">
      <c r="E230" s="384"/>
      <c r="K230" s="269"/>
      <c r="M230" s="392"/>
      <c r="Q230" s="19">
        <v>245</v>
      </c>
      <c r="R230" s="226">
        <v>1.07</v>
      </c>
      <c r="S230" s="19">
        <f t="shared" si="48"/>
        <v>7227</v>
      </c>
    </row>
    <row r="231" spans="1:26">
      <c r="C231" s="345"/>
      <c r="D231" s="346" t="s">
        <v>392</v>
      </c>
      <c r="E231" s="384"/>
      <c r="K231" s="269"/>
      <c r="M231" s="392"/>
      <c r="Q231" s="19">
        <v>250</v>
      </c>
      <c r="R231" s="226">
        <v>1.07</v>
      </c>
      <c r="S231" s="19">
        <f t="shared" si="48"/>
        <v>7732</v>
      </c>
    </row>
    <row r="232" spans="1:26">
      <c r="C232" s="345"/>
      <c r="D232" s="346"/>
      <c r="E232" s="384"/>
      <c r="K232" s="269"/>
      <c r="M232" s="392"/>
    </row>
    <row r="233" spans="1:26">
      <c r="C233" s="345"/>
      <c r="D233" s="346"/>
      <c r="E233" s="384"/>
      <c r="K233" s="269"/>
      <c r="M233" s="392"/>
    </row>
    <row r="234" spans="1:26">
      <c r="C234" s="345"/>
      <c r="D234" s="346"/>
      <c r="E234" s="384"/>
      <c r="K234" s="269"/>
      <c r="M234" s="392"/>
    </row>
    <row r="235" spans="1:26">
      <c r="E235" s="384"/>
    </row>
    <row r="236" spans="1:26">
      <c r="E236" s="384"/>
    </row>
    <row r="237" spans="1:26">
      <c r="D237" s="424" t="s">
        <v>393</v>
      </c>
      <c r="E237" s="425" t="s">
        <v>394</v>
      </c>
      <c r="F237" s="425" t="s">
        <v>395</v>
      </c>
      <c r="G237" s="425" t="s">
        <v>396</v>
      </c>
      <c r="H237" s="425" t="s">
        <v>397</v>
      </c>
      <c r="I237" s="425" t="s">
        <v>398</v>
      </c>
      <c r="J237" s="425" t="s">
        <v>186</v>
      </c>
      <c r="K237" s="425" t="s">
        <v>187</v>
      </c>
      <c r="L237" s="425" t="s">
        <v>399</v>
      </c>
      <c r="M237" s="425" t="s">
        <v>400</v>
      </c>
      <c r="N237" s="425" t="s">
        <v>401</v>
      </c>
      <c r="O237" s="425" t="s">
        <v>402</v>
      </c>
      <c r="P237" s="425" t="s">
        <v>189</v>
      </c>
      <c r="Q237" s="425" t="s">
        <v>403</v>
      </c>
      <c r="R237" s="425" t="s">
        <v>190</v>
      </c>
      <c r="S237" s="425" t="s">
        <v>191</v>
      </c>
      <c r="T237" s="425" t="s">
        <v>404</v>
      </c>
      <c r="U237" s="425" t="s">
        <v>405</v>
      </c>
      <c r="V237" s="425" t="s">
        <v>406</v>
      </c>
      <c r="W237" s="425" t="s">
        <v>88</v>
      </c>
      <c r="X237" s="425" t="s">
        <v>92</v>
      </c>
      <c r="Y237" s="425" t="s">
        <v>407</v>
      </c>
      <c r="Z237" s="425" t="s">
        <v>296</v>
      </c>
    </row>
    <row r="238" spans="1:26">
      <c r="A238" s="80">
        <f t="shared" ref="A238:A252" si="49">R238*S238*T238*U238</f>
        <v>1</v>
      </c>
      <c r="D238" s="3">
        <v>1</v>
      </c>
      <c r="E238" s="426">
        <v>1</v>
      </c>
      <c r="F238" s="427"/>
      <c r="G238" s="427"/>
      <c r="H238" s="427">
        <v>100</v>
      </c>
      <c r="I238" s="428">
        <f t="shared" ref="I238:I301" si="50">(J238+Q238)*K238*L238*M238*N238*O238*P238*R238*S238*T238*U238*V238*Y238/H238</f>
        <v>1.025</v>
      </c>
      <c r="J238" s="429">
        <v>100</v>
      </c>
      <c r="K238" s="428">
        <v>1</v>
      </c>
      <c r="L238" s="428">
        <v>1</v>
      </c>
      <c r="M238" s="428">
        <v>1</v>
      </c>
      <c r="N238" s="428">
        <v>1</v>
      </c>
      <c r="O238" s="428">
        <v>1</v>
      </c>
      <c r="P238" s="428">
        <v>1</v>
      </c>
      <c r="Q238" s="430">
        <v>0</v>
      </c>
      <c r="R238" s="428">
        <v>1</v>
      </c>
      <c r="S238" s="428">
        <v>1</v>
      </c>
      <c r="T238" s="428">
        <v>1</v>
      </c>
      <c r="U238" s="428">
        <v>1</v>
      </c>
      <c r="V238" s="428">
        <f t="shared" ref="V238:V252" si="51">W238*X238+1-W238</f>
        <v>1.025</v>
      </c>
      <c r="W238" s="428">
        <v>0.05</v>
      </c>
      <c r="X238" s="428">
        <v>1.5</v>
      </c>
      <c r="Y238" s="428">
        <v>1</v>
      </c>
      <c r="Z238" s="426">
        <v>1</v>
      </c>
    </row>
    <row r="239" spans="1:26">
      <c r="A239" s="80">
        <f t="shared" si="49"/>
        <v>1</v>
      </c>
      <c r="D239" s="3">
        <v>2</v>
      </c>
      <c r="E239" s="426">
        <f ca="1" t="shared" ref="E239:E302" si="52">INT(Z239)</f>
        <v>1</v>
      </c>
      <c r="F239" s="431">
        <v>1.5</v>
      </c>
      <c r="G239" s="432" t="s">
        <v>408</v>
      </c>
      <c r="H239" s="427">
        <f t="shared" ref="H239:H302" si="53">INT(H238*F239)</f>
        <v>150</v>
      </c>
      <c r="I239" s="428">
        <f t="shared" si="50"/>
        <v>0.908833333333333</v>
      </c>
      <c r="J239" s="429">
        <v>133</v>
      </c>
      <c r="K239" s="428">
        <v>1</v>
      </c>
      <c r="L239" s="433">
        <v>1</v>
      </c>
      <c r="M239" s="428">
        <v>1</v>
      </c>
      <c r="N239" s="428">
        <v>1</v>
      </c>
      <c r="O239" s="428">
        <v>1</v>
      </c>
      <c r="P239" s="428">
        <v>1</v>
      </c>
      <c r="Q239" s="430">
        <v>0</v>
      </c>
      <c r="R239" s="428">
        <v>1</v>
      </c>
      <c r="S239" s="428">
        <v>1</v>
      </c>
      <c r="T239" s="428">
        <v>1</v>
      </c>
      <c r="U239" s="428">
        <v>1</v>
      </c>
      <c r="V239" s="428">
        <f t="shared" si="51"/>
        <v>1.025</v>
      </c>
      <c r="W239" s="428">
        <v>0.05</v>
      </c>
      <c r="X239" s="428">
        <v>1.5</v>
      </c>
      <c r="Y239" s="428">
        <v>1</v>
      </c>
      <c r="Z239" s="426">
        <f ca="1" t="shared" ref="Z239:Z302" si="54">Z238+1/OFFSET($F$63,IFERROR(MATCH(D238,$E$149:$E$181,1)+1,1),0)</f>
        <v>1.1</v>
      </c>
    </row>
    <row r="240" spans="1:26">
      <c r="A240" s="80">
        <f t="shared" si="49"/>
        <v>1</v>
      </c>
      <c r="D240" s="3">
        <v>3</v>
      </c>
      <c r="E240" s="426">
        <f ca="1" t="shared" si="52"/>
        <v>1</v>
      </c>
      <c r="F240" s="431">
        <v>1.33</v>
      </c>
      <c r="G240" s="432" t="s">
        <v>408</v>
      </c>
      <c r="H240" s="427">
        <f t="shared" si="53"/>
        <v>199</v>
      </c>
      <c r="I240" s="428">
        <f t="shared" si="50"/>
        <v>0.965508793969849</v>
      </c>
      <c r="J240" s="429">
        <v>163</v>
      </c>
      <c r="K240" s="428">
        <v>1</v>
      </c>
      <c r="L240" s="433">
        <v>1.15</v>
      </c>
      <c r="M240" s="428">
        <v>1</v>
      </c>
      <c r="N240" s="428">
        <v>1</v>
      </c>
      <c r="O240" s="428">
        <v>1</v>
      </c>
      <c r="P240" s="433">
        <v>1</v>
      </c>
      <c r="Q240" s="430">
        <v>0</v>
      </c>
      <c r="R240" s="428">
        <v>1</v>
      </c>
      <c r="S240" s="428">
        <v>1</v>
      </c>
      <c r="T240" s="428">
        <v>1</v>
      </c>
      <c r="U240" s="428">
        <v>1</v>
      </c>
      <c r="V240" s="428">
        <f t="shared" si="51"/>
        <v>1.025</v>
      </c>
      <c r="W240" s="428">
        <v>0.05</v>
      </c>
      <c r="X240" s="428">
        <v>1.5</v>
      </c>
      <c r="Y240" s="428">
        <v>1</v>
      </c>
      <c r="Z240" s="426">
        <f ca="1" t="shared" si="54"/>
        <v>1.2</v>
      </c>
    </row>
    <row r="241" spans="1:26">
      <c r="A241" s="80">
        <f t="shared" si="49"/>
        <v>1</v>
      </c>
      <c r="D241" s="3">
        <v>4</v>
      </c>
      <c r="E241" s="426">
        <f ca="1" t="shared" si="52"/>
        <v>1</v>
      </c>
      <c r="F241" s="431">
        <v>1.33</v>
      </c>
      <c r="G241" s="432" t="s">
        <v>408</v>
      </c>
      <c r="H241" s="427">
        <f t="shared" si="53"/>
        <v>264</v>
      </c>
      <c r="I241" s="428">
        <f t="shared" si="50"/>
        <v>0.914200994318182</v>
      </c>
      <c r="J241" s="429">
        <v>195</v>
      </c>
      <c r="K241" s="428">
        <v>1</v>
      </c>
      <c r="L241" s="428">
        <v>1.15</v>
      </c>
      <c r="M241" s="428">
        <v>1</v>
      </c>
      <c r="N241" s="428">
        <v>1</v>
      </c>
      <c r="O241" s="428">
        <v>1</v>
      </c>
      <c r="P241" s="433">
        <v>1.05</v>
      </c>
      <c r="Q241" s="430">
        <v>0</v>
      </c>
      <c r="R241" s="428">
        <v>1</v>
      </c>
      <c r="S241" s="428">
        <v>1</v>
      </c>
      <c r="T241" s="428">
        <v>1</v>
      </c>
      <c r="U241" s="428">
        <v>1</v>
      </c>
      <c r="V241" s="428">
        <f t="shared" si="51"/>
        <v>1.025</v>
      </c>
      <c r="W241" s="428">
        <v>0.05</v>
      </c>
      <c r="X241" s="428">
        <v>1.5</v>
      </c>
      <c r="Y241" s="428">
        <v>1</v>
      </c>
      <c r="Z241" s="426">
        <f ca="1" t="shared" si="54"/>
        <v>1.3</v>
      </c>
    </row>
    <row r="242" spans="1:26">
      <c r="A242" s="80">
        <f t="shared" si="49"/>
        <v>1</v>
      </c>
      <c r="D242" s="3">
        <v>5</v>
      </c>
      <c r="E242" s="426">
        <f ca="1" t="shared" si="52"/>
        <v>1</v>
      </c>
      <c r="F242" s="431">
        <v>1.33</v>
      </c>
      <c r="G242" s="432" t="s">
        <v>408</v>
      </c>
      <c r="H242" s="427">
        <f t="shared" si="53"/>
        <v>351</v>
      </c>
      <c r="I242" s="428">
        <f t="shared" si="50"/>
        <v>0.967851139601139</v>
      </c>
      <c r="J242" s="430">
        <v>242</v>
      </c>
      <c r="K242" s="428">
        <v>1</v>
      </c>
      <c r="L242" s="428">
        <v>1.15</v>
      </c>
      <c r="M242" s="428">
        <v>1</v>
      </c>
      <c r="N242" s="428">
        <v>1</v>
      </c>
      <c r="O242" s="428">
        <v>1</v>
      </c>
      <c r="P242" s="428">
        <v>1.1</v>
      </c>
      <c r="Q242" s="430">
        <v>20</v>
      </c>
      <c r="R242" s="428">
        <v>1</v>
      </c>
      <c r="S242" s="428">
        <v>1</v>
      </c>
      <c r="T242" s="428">
        <v>1</v>
      </c>
      <c r="U242" s="428">
        <v>1</v>
      </c>
      <c r="V242" s="428">
        <f t="shared" si="51"/>
        <v>1.025</v>
      </c>
      <c r="W242" s="428">
        <v>0.05</v>
      </c>
      <c r="X242" s="428">
        <v>1.5</v>
      </c>
      <c r="Y242" s="428">
        <v>1</v>
      </c>
      <c r="Z242" s="426">
        <f ca="1" t="shared" si="54"/>
        <v>1.4</v>
      </c>
    </row>
    <row r="243" spans="1:26">
      <c r="A243" s="80">
        <f t="shared" si="49"/>
        <v>1.06605</v>
      </c>
      <c r="D243" s="3">
        <v>6</v>
      </c>
      <c r="E243" s="426">
        <f ca="1" t="shared" si="52"/>
        <v>1</v>
      </c>
      <c r="F243" s="431">
        <v>1.2</v>
      </c>
      <c r="G243" s="432" t="s">
        <v>408</v>
      </c>
      <c r="H243" s="427">
        <f t="shared" si="53"/>
        <v>421</v>
      </c>
      <c r="I243" s="428">
        <f t="shared" si="50"/>
        <v>1.04603586081948</v>
      </c>
      <c r="J243" s="430">
        <v>254</v>
      </c>
      <c r="K243" s="428">
        <v>1</v>
      </c>
      <c r="L243" s="428">
        <v>1.15</v>
      </c>
      <c r="M243" s="428">
        <v>1</v>
      </c>
      <c r="N243" s="428">
        <v>1</v>
      </c>
      <c r="O243" s="428">
        <v>1</v>
      </c>
      <c r="P243" s="428">
        <v>1.15</v>
      </c>
      <c r="Q243" s="430">
        <v>50</v>
      </c>
      <c r="R243" s="428">
        <v>1.035</v>
      </c>
      <c r="S243" s="428">
        <v>1.03</v>
      </c>
      <c r="T243" s="428">
        <v>1</v>
      </c>
      <c r="U243" s="428">
        <v>1</v>
      </c>
      <c r="V243" s="428">
        <f t="shared" si="51"/>
        <v>1.0275</v>
      </c>
      <c r="W243" s="428">
        <v>0.05</v>
      </c>
      <c r="X243" s="428">
        <v>1.55</v>
      </c>
      <c r="Y243" s="428">
        <v>1</v>
      </c>
      <c r="Z243" s="426">
        <f ca="1" t="shared" si="54"/>
        <v>1.5</v>
      </c>
    </row>
    <row r="244" spans="1:26">
      <c r="A244" s="80">
        <f t="shared" si="49"/>
        <v>1.06605</v>
      </c>
      <c r="D244" s="3">
        <v>7</v>
      </c>
      <c r="E244" s="426">
        <f ca="1" t="shared" si="52"/>
        <v>1</v>
      </c>
      <c r="F244" s="431">
        <v>1.15</v>
      </c>
      <c r="G244" s="432" t="s">
        <v>408</v>
      </c>
      <c r="H244" s="427">
        <f t="shared" si="53"/>
        <v>484</v>
      </c>
      <c r="I244" s="428">
        <f t="shared" si="50"/>
        <v>1.02910393378357</v>
      </c>
      <c r="J244" s="430">
        <f>323-30</f>
        <v>293</v>
      </c>
      <c r="K244" s="428">
        <v>1</v>
      </c>
      <c r="L244" s="428">
        <v>1.15</v>
      </c>
      <c r="M244" s="428">
        <v>1</v>
      </c>
      <c r="N244" s="428">
        <v>1</v>
      </c>
      <c r="O244" s="428">
        <v>1</v>
      </c>
      <c r="P244" s="428">
        <v>1.15</v>
      </c>
      <c r="Q244" s="430">
        <v>50</v>
      </c>
      <c r="R244" s="428">
        <v>1.035</v>
      </c>
      <c r="S244" s="428">
        <v>1.03</v>
      </c>
      <c r="T244" s="428">
        <v>1</v>
      </c>
      <c r="U244" s="428">
        <v>1</v>
      </c>
      <c r="V244" s="428">
        <f t="shared" si="51"/>
        <v>1.03</v>
      </c>
      <c r="W244" s="428">
        <v>0.05</v>
      </c>
      <c r="X244" s="428">
        <v>1.6</v>
      </c>
      <c r="Y244" s="428">
        <v>1</v>
      </c>
      <c r="Z244" s="426">
        <f ca="1" t="shared" si="54"/>
        <v>1.6</v>
      </c>
    </row>
    <row r="245" spans="1:26">
      <c r="A245" s="80">
        <f t="shared" si="49"/>
        <v>1.1178</v>
      </c>
      <c r="D245" s="3">
        <v>8</v>
      </c>
      <c r="E245" s="426">
        <f ca="1" t="shared" si="52"/>
        <v>1</v>
      </c>
      <c r="F245" s="431">
        <v>1.15</v>
      </c>
      <c r="G245" s="432" t="s">
        <v>408</v>
      </c>
      <c r="H245" s="427">
        <f t="shared" si="53"/>
        <v>556</v>
      </c>
      <c r="I245" s="428">
        <f t="shared" si="50"/>
        <v>1.01847169640962</v>
      </c>
      <c r="J245" s="430">
        <f>341-30</f>
        <v>311</v>
      </c>
      <c r="K245" s="428">
        <v>1</v>
      </c>
      <c r="L245" s="428">
        <v>1.15</v>
      </c>
      <c r="M245" s="428">
        <v>1</v>
      </c>
      <c r="N245" s="428">
        <v>1</v>
      </c>
      <c r="O245" s="428">
        <v>1</v>
      </c>
      <c r="P245" s="428">
        <v>1.15</v>
      </c>
      <c r="Q245" s="430">
        <v>60</v>
      </c>
      <c r="R245" s="428">
        <v>1.035</v>
      </c>
      <c r="S245" s="428">
        <v>1.08</v>
      </c>
      <c r="T245" s="428">
        <v>1</v>
      </c>
      <c r="U245" s="428">
        <v>1</v>
      </c>
      <c r="V245" s="428">
        <f t="shared" si="51"/>
        <v>1.0325</v>
      </c>
      <c r="W245" s="428">
        <v>0.05</v>
      </c>
      <c r="X245" s="428">
        <v>1.65</v>
      </c>
      <c r="Y245" s="428">
        <v>1</v>
      </c>
      <c r="Z245" s="426">
        <f ca="1" t="shared" si="54"/>
        <v>1.7</v>
      </c>
    </row>
    <row r="246" spans="1:26">
      <c r="A246" s="80">
        <f t="shared" si="49"/>
        <v>1.1664</v>
      </c>
      <c r="D246" s="3">
        <v>9</v>
      </c>
      <c r="E246" s="426">
        <f ca="1" t="shared" si="52"/>
        <v>1</v>
      </c>
      <c r="F246" s="431">
        <v>1.15</v>
      </c>
      <c r="G246" s="432" t="s">
        <v>408</v>
      </c>
      <c r="H246" s="427">
        <f t="shared" si="53"/>
        <v>639</v>
      </c>
      <c r="I246" s="428">
        <f t="shared" si="50"/>
        <v>1.06686767915493</v>
      </c>
      <c r="J246" s="434">
        <v>367</v>
      </c>
      <c r="K246" s="435">
        <v>1</v>
      </c>
      <c r="L246" s="435">
        <v>1.15</v>
      </c>
      <c r="M246" s="435">
        <v>1</v>
      </c>
      <c r="N246" s="435">
        <v>1</v>
      </c>
      <c r="O246" s="435">
        <v>1</v>
      </c>
      <c r="P246" s="435">
        <v>1.15</v>
      </c>
      <c r="Q246" s="434">
        <v>60</v>
      </c>
      <c r="R246" s="435">
        <v>1.08</v>
      </c>
      <c r="S246" s="428">
        <v>1.08</v>
      </c>
      <c r="T246" s="428">
        <v>1</v>
      </c>
      <c r="U246" s="428">
        <v>1</v>
      </c>
      <c r="V246" s="428">
        <f t="shared" si="51"/>
        <v>1.035</v>
      </c>
      <c r="W246" s="428">
        <v>0.05</v>
      </c>
      <c r="X246" s="428">
        <v>1.7</v>
      </c>
      <c r="Y246" s="428">
        <v>1</v>
      </c>
      <c r="Z246" s="426">
        <f ca="1" t="shared" si="54"/>
        <v>1.8</v>
      </c>
    </row>
    <row r="247" spans="1:26">
      <c r="A247" s="80">
        <f t="shared" si="49"/>
        <v>1.161</v>
      </c>
      <c r="D247" s="3">
        <v>10</v>
      </c>
      <c r="E247" s="426">
        <f ca="1" t="shared" si="52"/>
        <v>1</v>
      </c>
      <c r="F247" s="431">
        <v>1.15</v>
      </c>
      <c r="G247" s="432" t="s">
        <v>409</v>
      </c>
      <c r="H247" s="427">
        <f t="shared" si="53"/>
        <v>734</v>
      </c>
      <c r="I247" s="428">
        <f t="shared" si="50"/>
        <v>0.95927298765327</v>
      </c>
      <c r="J247" s="430">
        <v>382</v>
      </c>
      <c r="K247" s="428">
        <v>1</v>
      </c>
      <c r="L247" s="428">
        <v>1.15</v>
      </c>
      <c r="M247" s="428">
        <v>1</v>
      </c>
      <c r="N247" s="428">
        <v>1</v>
      </c>
      <c r="O247" s="428">
        <v>1</v>
      </c>
      <c r="P247" s="428">
        <v>1.15</v>
      </c>
      <c r="Q247" s="430">
        <v>60</v>
      </c>
      <c r="R247" s="428">
        <v>1.075</v>
      </c>
      <c r="S247" s="428">
        <v>1.08</v>
      </c>
      <c r="T247" s="428">
        <v>1</v>
      </c>
      <c r="U247" s="428">
        <v>1</v>
      </c>
      <c r="V247" s="428">
        <f t="shared" si="51"/>
        <v>1.0375</v>
      </c>
      <c r="W247" s="428">
        <v>0.05</v>
      </c>
      <c r="X247" s="428">
        <v>1.75</v>
      </c>
      <c r="Y247" s="428">
        <v>1</v>
      </c>
      <c r="Z247" s="426">
        <f ca="1" t="shared" si="54"/>
        <v>1.9</v>
      </c>
    </row>
    <row r="248" spans="1:26">
      <c r="A248" s="80">
        <f t="shared" si="49"/>
        <v>1.1664</v>
      </c>
      <c r="D248" s="3">
        <v>11</v>
      </c>
      <c r="E248" s="426">
        <f ca="1" t="shared" si="52"/>
        <v>2</v>
      </c>
      <c r="F248" s="436">
        <v>1.15</v>
      </c>
      <c r="G248" s="432"/>
      <c r="H248" s="427">
        <f t="shared" si="53"/>
        <v>844</v>
      </c>
      <c r="I248" s="428">
        <f t="shared" si="50"/>
        <v>0.932940513981042</v>
      </c>
      <c r="J248" s="430">
        <f>J247+50</f>
        <v>432</v>
      </c>
      <c r="K248" s="428">
        <v>1</v>
      </c>
      <c r="L248" s="428">
        <v>1.15</v>
      </c>
      <c r="M248" s="428">
        <v>1</v>
      </c>
      <c r="N248" s="428">
        <v>1</v>
      </c>
      <c r="O248" s="428">
        <v>1</v>
      </c>
      <c r="P248" s="428">
        <v>1.15</v>
      </c>
      <c r="Q248" s="430">
        <v>60</v>
      </c>
      <c r="R248" s="428">
        <v>1.08</v>
      </c>
      <c r="S248" s="428">
        <v>1.08</v>
      </c>
      <c r="T248" s="428">
        <v>1</v>
      </c>
      <c r="U248" s="428">
        <v>1</v>
      </c>
      <c r="V248" s="428">
        <f t="shared" si="51"/>
        <v>1.0375</v>
      </c>
      <c r="W248" s="428">
        <v>0.05</v>
      </c>
      <c r="X248" s="428">
        <v>1.75</v>
      </c>
      <c r="Y248" s="428">
        <v>1</v>
      </c>
      <c r="Z248" s="426">
        <f ca="1" t="shared" si="54"/>
        <v>2.1</v>
      </c>
    </row>
    <row r="249" spans="1:26">
      <c r="A249" s="80">
        <f t="shared" si="49"/>
        <v>1.188</v>
      </c>
      <c r="D249" s="3">
        <v>12</v>
      </c>
      <c r="E249" s="426">
        <f ca="1" t="shared" si="52"/>
        <v>2</v>
      </c>
      <c r="F249" s="436">
        <v>1.15</v>
      </c>
      <c r="G249" s="432"/>
      <c r="H249" s="427">
        <f t="shared" si="53"/>
        <v>970</v>
      </c>
      <c r="I249" s="428">
        <f t="shared" si="50"/>
        <v>0.910809976546392</v>
      </c>
      <c r="J249" s="430">
        <f>J248+50</f>
        <v>482</v>
      </c>
      <c r="K249" s="428">
        <v>1</v>
      </c>
      <c r="L249" s="428">
        <v>1.15</v>
      </c>
      <c r="M249" s="428">
        <v>1</v>
      </c>
      <c r="N249" s="428">
        <v>1</v>
      </c>
      <c r="O249" s="428">
        <v>1</v>
      </c>
      <c r="P249" s="428">
        <v>1.15</v>
      </c>
      <c r="Q249" s="430">
        <v>60</v>
      </c>
      <c r="R249" s="428">
        <v>1.08</v>
      </c>
      <c r="S249" s="428">
        <v>1.1</v>
      </c>
      <c r="T249" s="428">
        <v>1</v>
      </c>
      <c r="U249" s="428">
        <v>1</v>
      </c>
      <c r="V249" s="428">
        <f t="shared" si="51"/>
        <v>1.0375</v>
      </c>
      <c r="W249" s="428">
        <v>0.05</v>
      </c>
      <c r="X249" s="428">
        <v>1.75</v>
      </c>
      <c r="Y249" s="428">
        <v>1</v>
      </c>
      <c r="Z249" s="426">
        <f ca="1" t="shared" si="54"/>
        <v>2.3</v>
      </c>
    </row>
    <row r="250" spans="1:26">
      <c r="A250" s="80">
        <f t="shared" si="49"/>
        <v>1.232</v>
      </c>
      <c r="D250" s="3">
        <v>13</v>
      </c>
      <c r="E250" s="426">
        <f ca="1" t="shared" si="52"/>
        <v>2</v>
      </c>
      <c r="F250" s="436">
        <v>1.15</v>
      </c>
      <c r="G250" s="432"/>
      <c r="H250" s="427">
        <f t="shared" si="53"/>
        <v>1115</v>
      </c>
      <c r="I250" s="428">
        <f t="shared" si="50"/>
        <v>0.920716692376682</v>
      </c>
      <c r="J250" s="430">
        <f>J249+40</f>
        <v>522</v>
      </c>
      <c r="K250" s="428">
        <v>1</v>
      </c>
      <c r="L250" s="428">
        <v>1.15</v>
      </c>
      <c r="M250" s="428">
        <v>1</v>
      </c>
      <c r="N250" s="428">
        <v>1</v>
      </c>
      <c r="O250" s="428">
        <v>1</v>
      </c>
      <c r="P250" s="428">
        <v>1.2</v>
      </c>
      <c r="Q250" s="430">
        <v>60</v>
      </c>
      <c r="R250" s="428">
        <v>1.12</v>
      </c>
      <c r="S250" s="428">
        <v>1.1</v>
      </c>
      <c r="T250" s="428">
        <v>1</v>
      </c>
      <c r="U250" s="428">
        <v>1</v>
      </c>
      <c r="V250" s="428">
        <f t="shared" si="51"/>
        <v>1.0375</v>
      </c>
      <c r="W250" s="428">
        <v>0.05</v>
      </c>
      <c r="X250" s="428">
        <v>1.75</v>
      </c>
      <c r="Y250" s="428">
        <v>1</v>
      </c>
      <c r="Z250" s="426">
        <f ca="1" t="shared" si="54"/>
        <v>2.5</v>
      </c>
    </row>
    <row r="251" spans="1:26">
      <c r="A251" s="80">
        <f t="shared" si="49"/>
        <v>1.276</v>
      </c>
      <c r="D251" s="3">
        <v>14</v>
      </c>
      <c r="E251" s="426">
        <f ca="1" t="shared" si="52"/>
        <v>2</v>
      </c>
      <c r="F251" s="436">
        <v>1.1</v>
      </c>
      <c r="G251" s="432"/>
      <c r="H251" s="427">
        <f t="shared" si="53"/>
        <v>1226</v>
      </c>
      <c r="I251" s="428">
        <f t="shared" si="50"/>
        <v>0.926867769983687</v>
      </c>
      <c r="J251" s="430">
        <f>J250+40</f>
        <v>562</v>
      </c>
      <c r="K251" s="428">
        <v>1</v>
      </c>
      <c r="L251" s="428">
        <v>1.15</v>
      </c>
      <c r="M251" s="428">
        <v>1</v>
      </c>
      <c r="N251" s="428">
        <v>1</v>
      </c>
      <c r="O251" s="428">
        <v>1</v>
      </c>
      <c r="P251" s="428">
        <v>1.2</v>
      </c>
      <c r="Q251" s="430">
        <v>60</v>
      </c>
      <c r="R251" s="428">
        <v>1.16</v>
      </c>
      <c r="S251" s="428">
        <v>1.1</v>
      </c>
      <c r="T251" s="428">
        <v>1</v>
      </c>
      <c r="U251" s="428">
        <v>1</v>
      </c>
      <c r="V251" s="428">
        <f t="shared" si="51"/>
        <v>1.0375</v>
      </c>
      <c r="W251" s="428">
        <v>0.05</v>
      </c>
      <c r="X251" s="428">
        <v>1.75</v>
      </c>
      <c r="Y251" s="428">
        <v>1</v>
      </c>
      <c r="Z251" s="426">
        <f ca="1" t="shared" si="54"/>
        <v>2.7</v>
      </c>
    </row>
    <row r="252" spans="1:26">
      <c r="A252" s="80">
        <f t="shared" si="49"/>
        <v>1.276</v>
      </c>
      <c r="D252" s="3">
        <v>15</v>
      </c>
      <c r="E252" s="426">
        <f ca="1" t="shared" si="52"/>
        <v>2</v>
      </c>
      <c r="F252" s="436">
        <v>1.1</v>
      </c>
      <c r="H252" s="427">
        <f t="shared" si="53"/>
        <v>1348</v>
      </c>
      <c r="I252" s="428">
        <f t="shared" si="50"/>
        <v>0.905259525222552</v>
      </c>
      <c r="J252" s="430">
        <v>600</v>
      </c>
      <c r="K252" s="428">
        <v>1</v>
      </c>
      <c r="L252" s="428">
        <v>1.15</v>
      </c>
      <c r="M252" s="428">
        <v>1</v>
      </c>
      <c r="N252" s="428">
        <v>1</v>
      </c>
      <c r="O252" s="428">
        <v>1</v>
      </c>
      <c r="P252" s="428">
        <v>1.2</v>
      </c>
      <c r="Q252" s="430">
        <v>60</v>
      </c>
      <c r="R252" s="428">
        <v>1.16</v>
      </c>
      <c r="S252" s="428">
        <v>1.1</v>
      </c>
      <c r="T252" s="428">
        <v>1</v>
      </c>
      <c r="U252" s="428">
        <v>1</v>
      </c>
      <c r="V252" s="428">
        <f t="shared" si="51"/>
        <v>1.05</v>
      </c>
      <c r="W252" s="428">
        <v>0.05</v>
      </c>
      <c r="X252" s="428">
        <v>2</v>
      </c>
      <c r="Y252" s="428">
        <v>1</v>
      </c>
      <c r="Z252" s="426">
        <f ca="1" t="shared" si="54"/>
        <v>2.9</v>
      </c>
    </row>
    <row r="253" spans="1:26">
      <c r="D253" s="3">
        <v>16</v>
      </c>
      <c r="E253" s="426">
        <f ca="1" t="shared" si="52"/>
        <v>3</v>
      </c>
      <c r="F253" s="436">
        <v>1.1</v>
      </c>
      <c r="H253" s="427">
        <f t="shared" si="53"/>
        <v>1482</v>
      </c>
      <c r="I253" s="428">
        <f t="shared" si="50"/>
        <v>0</v>
      </c>
      <c r="J253" s="430"/>
      <c r="K253" s="430"/>
      <c r="L253" s="430"/>
      <c r="M253" s="430"/>
      <c r="N253" s="430"/>
      <c r="O253" s="430"/>
      <c r="P253" s="430"/>
      <c r="Q253" s="430"/>
      <c r="R253" s="430"/>
      <c r="S253" s="430"/>
      <c r="T253" s="430"/>
      <c r="U253" s="430"/>
      <c r="V253" s="430"/>
      <c r="W253" s="430"/>
      <c r="X253" s="430"/>
      <c r="Y253" s="430"/>
      <c r="Z253" s="426">
        <f ca="1" t="shared" si="54"/>
        <v>3.1</v>
      </c>
    </row>
    <row r="254" spans="1:26">
      <c r="D254" s="3">
        <v>17</v>
      </c>
      <c r="E254" s="426">
        <f ca="1" t="shared" si="52"/>
        <v>3</v>
      </c>
      <c r="F254" s="436">
        <v>1.1</v>
      </c>
      <c r="G254" s="432"/>
      <c r="H254" s="427">
        <f t="shared" si="53"/>
        <v>1630</v>
      </c>
      <c r="I254" s="428">
        <f t="shared" si="50"/>
        <v>0</v>
      </c>
      <c r="J254" s="430"/>
      <c r="K254" s="430"/>
      <c r="L254" s="430"/>
      <c r="M254" s="430"/>
      <c r="N254" s="430"/>
      <c r="O254" s="430"/>
      <c r="P254" s="430"/>
      <c r="Q254" s="430"/>
      <c r="R254" s="430"/>
      <c r="S254" s="430"/>
      <c r="T254" s="430"/>
      <c r="U254" s="430"/>
      <c r="V254" s="430"/>
      <c r="W254" s="430"/>
      <c r="X254" s="430"/>
      <c r="Y254" s="430"/>
      <c r="Z254" s="426">
        <f ca="1" t="shared" si="54"/>
        <v>3.3</v>
      </c>
    </row>
    <row r="255" spans="1:26">
      <c r="D255" s="3">
        <v>18</v>
      </c>
      <c r="E255" s="426">
        <f ca="1" t="shared" si="52"/>
        <v>3</v>
      </c>
      <c r="F255" s="436">
        <v>1.1</v>
      </c>
      <c r="G255" s="432"/>
      <c r="H255" s="427">
        <f t="shared" si="53"/>
        <v>1793</v>
      </c>
      <c r="I255" s="428">
        <f t="shared" si="50"/>
        <v>0</v>
      </c>
      <c r="J255" s="430"/>
      <c r="K255" s="430"/>
      <c r="L255" s="430"/>
      <c r="M255" s="430"/>
      <c r="N255" s="430"/>
      <c r="O255" s="430"/>
      <c r="P255" s="430"/>
      <c r="Q255" s="430"/>
      <c r="R255" s="430"/>
      <c r="S255" s="430"/>
      <c r="T255" s="430"/>
      <c r="U255" s="430"/>
      <c r="V255" s="430"/>
      <c r="W255" s="430"/>
      <c r="X255" s="430"/>
      <c r="Y255" s="430"/>
      <c r="Z255" s="426">
        <f ca="1" t="shared" si="54"/>
        <v>3.5</v>
      </c>
    </row>
    <row r="256" spans="1:26">
      <c r="D256" s="3">
        <v>19</v>
      </c>
      <c r="E256" s="426">
        <f ca="1" t="shared" si="52"/>
        <v>3</v>
      </c>
      <c r="F256" s="436">
        <v>1.1</v>
      </c>
      <c r="G256" s="432"/>
      <c r="H256" s="427">
        <f t="shared" si="53"/>
        <v>1972</v>
      </c>
      <c r="I256" s="428">
        <f t="shared" si="50"/>
        <v>0</v>
      </c>
      <c r="J256" s="430"/>
      <c r="K256" s="430"/>
      <c r="L256" s="430"/>
      <c r="M256" s="430"/>
      <c r="N256" s="430"/>
      <c r="O256" s="430"/>
      <c r="P256" s="430"/>
      <c r="Q256" s="430"/>
      <c r="R256" s="430"/>
      <c r="S256" s="430"/>
      <c r="T256" s="430"/>
      <c r="U256" s="430"/>
      <c r="V256" s="430"/>
      <c r="W256" s="430"/>
      <c r="X256" s="430"/>
      <c r="Y256" s="430"/>
      <c r="Z256" s="426">
        <f ca="1" t="shared" si="54"/>
        <v>3.7</v>
      </c>
    </row>
    <row r="257" spans="4:26">
      <c r="D257" s="3">
        <v>20</v>
      </c>
      <c r="E257" s="426">
        <f ca="1" t="shared" si="52"/>
        <v>3</v>
      </c>
      <c r="F257" s="436">
        <v>1.1</v>
      </c>
      <c r="G257" s="432"/>
      <c r="H257" s="427">
        <f t="shared" si="53"/>
        <v>2169</v>
      </c>
      <c r="I257" s="428">
        <f t="shared" si="50"/>
        <v>0</v>
      </c>
      <c r="J257" s="430"/>
      <c r="K257" s="430"/>
      <c r="L257" s="430"/>
      <c r="M257" s="430"/>
      <c r="N257" s="430"/>
      <c r="O257" s="430"/>
      <c r="P257" s="430"/>
      <c r="Q257" s="430"/>
      <c r="R257" s="430"/>
      <c r="S257" s="430"/>
      <c r="T257" s="430"/>
      <c r="U257" s="430"/>
      <c r="V257" s="430"/>
      <c r="W257" s="430"/>
      <c r="X257" s="430"/>
      <c r="Y257" s="430"/>
      <c r="Z257" s="426">
        <f ca="1" t="shared" si="54"/>
        <v>3.9</v>
      </c>
    </row>
    <row r="258" spans="4:26">
      <c r="D258" s="3">
        <v>21</v>
      </c>
      <c r="E258" s="426">
        <f ca="1" t="shared" si="52"/>
        <v>4</v>
      </c>
      <c r="F258" s="436">
        <v>1.1</v>
      </c>
      <c r="G258" s="436"/>
      <c r="H258" s="427">
        <f t="shared" si="53"/>
        <v>2385</v>
      </c>
      <c r="I258" s="428">
        <f t="shared" si="50"/>
        <v>0</v>
      </c>
      <c r="J258" s="430"/>
      <c r="K258" s="430"/>
      <c r="L258" s="430"/>
      <c r="M258" s="430"/>
      <c r="N258" s="430"/>
      <c r="O258" s="430"/>
      <c r="P258" s="430"/>
      <c r="Q258" s="430"/>
      <c r="R258" s="430"/>
      <c r="S258" s="430"/>
      <c r="T258" s="430"/>
      <c r="U258" s="430"/>
      <c r="V258" s="430"/>
      <c r="W258" s="430"/>
      <c r="X258" s="430"/>
      <c r="Y258" s="430"/>
      <c r="Z258" s="426">
        <f ca="1" t="shared" si="54"/>
        <v>4.15</v>
      </c>
    </row>
    <row r="259" spans="4:26">
      <c r="D259" s="3">
        <v>22</v>
      </c>
      <c r="E259" s="426">
        <f ca="1" t="shared" si="52"/>
        <v>4</v>
      </c>
      <c r="F259" s="436">
        <v>1.1</v>
      </c>
      <c r="G259" s="436"/>
      <c r="H259" s="427">
        <f t="shared" si="53"/>
        <v>2623</v>
      </c>
      <c r="I259" s="428">
        <f t="shared" si="50"/>
        <v>0</v>
      </c>
      <c r="J259" s="430"/>
      <c r="K259" s="430"/>
      <c r="L259" s="430"/>
      <c r="M259" s="430"/>
      <c r="N259" s="430"/>
      <c r="O259" s="430"/>
      <c r="P259" s="430"/>
      <c r="Q259" s="430"/>
      <c r="R259" s="430"/>
      <c r="S259" s="430"/>
      <c r="T259" s="430"/>
      <c r="U259" s="430"/>
      <c r="V259" s="430"/>
      <c r="W259" s="430"/>
      <c r="X259" s="430"/>
      <c r="Y259" s="430"/>
      <c r="Z259" s="426">
        <f ca="1" t="shared" si="54"/>
        <v>4.4</v>
      </c>
    </row>
    <row r="260" spans="4:26">
      <c r="D260" s="3">
        <v>23</v>
      </c>
      <c r="E260" s="426">
        <f ca="1" t="shared" si="52"/>
        <v>4</v>
      </c>
      <c r="F260" s="436">
        <v>1.1</v>
      </c>
      <c r="G260" s="436"/>
      <c r="H260" s="427">
        <f t="shared" si="53"/>
        <v>2885</v>
      </c>
      <c r="I260" s="428">
        <f t="shared" si="50"/>
        <v>0</v>
      </c>
      <c r="J260" s="430"/>
      <c r="K260" s="430"/>
      <c r="L260" s="430"/>
      <c r="M260" s="430"/>
      <c r="N260" s="430"/>
      <c r="O260" s="430"/>
      <c r="P260" s="430"/>
      <c r="Q260" s="430"/>
      <c r="R260" s="430"/>
      <c r="S260" s="430"/>
      <c r="T260" s="430"/>
      <c r="U260" s="430"/>
      <c r="V260" s="430"/>
      <c r="W260" s="430"/>
      <c r="X260" s="430"/>
      <c r="Y260" s="430"/>
      <c r="Z260" s="426">
        <f ca="1" t="shared" si="54"/>
        <v>4.65</v>
      </c>
    </row>
    <row r="261" spans="4:26">
      <c r="D261" s="3">
        <v>24</v>
      </c>
      <c r="E261" s="426">
        <f ca="1" t="shared" si="52"/>
        <v>4</v>
      </c>
      <c r="F261" s="436">
        <v>1.1</v>
      </c>
      <c r="G261" s="436"/>
      <c r="H261" s="427">
        <f t="shared" si="53"/>
        <v>3173</v>
      </c>
      <c r="I261" s="428">
        <f t="shared" si="50"/>
        <v>0</v>
      </c>
      <c r="J261" s="430"/>
      <c r="K261" s="430"/>
      <c r="L261" s="430"/>
      <c r="M261" s="430"/>
      <c r="N261" s="430"/>
      <c r="O261" s="430"/>
      <c r="P261" s="430"/>
      <c r="Q261" s="430"/>
      <c r="R261" s="430"/>
      <c r="S261" s="430"/>
      <c r="T261" s="430"/>
      <c r="U261" s="430"/>
      <c r="V261" s="430"/>
      <c r="W261" s="430"/>
      <c r="X261" s="430"/>
      <c r="Y261" s="430"/>
      <c r="Z261" s="426">
        <f ca="1" t="shared" si="54"/>
        <v>4.9</v>
      </c>
    </row>
    <row r="262" spans="4:26">
      <c r="D262" s="3">
        <v>25</v>
      </c>
      <c r="E262" s="426">
        <f ca="1" t="shared" si="52"/>
        <v>5</v>
      </c>
      <c r="F262" s="436">
        <v>1.1</v>
      </c>
      <c r="G262" s="436"/>
      <c r="H262" s="427">
        <f t="shared" si="53"/>
        <v>3490</v>
      </c>
      <c r="I262" s="428">
        <f t="shared" si="50"/>
        <v>0</v>
      </c>
      <c r="J262" s="430"/>
      <c r="K262" s="430"/>
      <c r="L262" s="430"/>
      <c r="M262" s="430"/>
      <c r="N262" s="430"/>
      <c r="O262" s="430"/>
      <c r="P262" s="430"/>
      <c r="Q262" s="430"/>
      <c r="R262" s="430"/>
      <c r="S262" s="430"/>
      <c r="T262" s="430"/>
      <c r="U262" s="430"/>
      <c r="V262" s="430"/>
      <c r="W262" s="430"/>
      <c r="X262" s="430"/>
      <c r="Y262" s="430"/>
      <c r="Z262" s="426">
        <f ca="1" t="shared" si="54"/>
        <v>5.23333333333334</v>
      </c>
    </row>
    <row r="263" spans="4:26">
      <c r="D263" s="3">
        <v>26</v>
      </c>
      <c r="E263" s="426">
        <f ca="1" t="shared" si="52"/>
        <v>5</v>
      </c>
      <c r="F263" s="436">
        <v>1.07</v>
      </c>
      <c r="G263" s="436"/>
      <c r="H263" s="427">
        <f t="shared" si="53"/>
        <v>3734</v>
      </c>
      <c r="I263" s="428">
        <f t="shared" si="50"/>
        <v>0</v>
      </c>
      <c r="J263" s="430"/>
      <c r="K263" s="430"/>
      <c r="L263" s="430"/>
      <c r="M263" s="430"/>
      <c r="N263" s="430"/>
      <c r="O263" s="430"/>
      <c r="P263" s="430"/>
      <c r="Q263" s="430"/>
      <c r="R263" s="430"/>
      <c r="S263" s="430"/>
      <c r="T263" s="430"/>
      <c r="U263" s="430"/>
      <c r="V263" s="430"/>
      <c r="W263" s="430"/>
      <c r="X263" s="430"/>
      <c r="Y263" s="430"/>
      <c r="Z263" s="426">
        <f ca="1" t="shared" si="54"/>
        <v>5.56666666666667</v>
      </c>
    </row>
    <row r="264" spans="4:26">
      <c r="D264" s="3">
        <v>27</v>
      </c>
      <c r="E264" s="426">
        <f ca="1" t="shared" si="52"/>
        <v>5</v>
      </c>
      <c r="F264" s="436">
        <v>1.07</v>
      </c>
      <c r="G264" s="436"/>
      <c r="H264" s="427">
        <f t="shared" si="53"/>
        <v>3995</v>
      </c>
      <c r="I264" s="428">
        <f t="shared" si="50"/>
        <v>0</v>
      </c>
      <c r="J264" s="430"/>
      <c r="K264" s="430"/>
      <c r="L264" s="430"/>
      <c r="M264" s="430"/>
      <c r="N264" s="430"/>
      <c r="O264" s="430"/>
      <c r="P264" s="430"/>
      <c r="Q264" s="430"/>
      <c r="R264" s="430"/>
      <c r="S264" s="430"/>
      <c r="T264" s="430"/>
      <c r="U264" s="430"/>
      <c r="V264" s="430"/>
      <c r="W264" s="430"/>
      <c r="X264" s="430"/>
      <c r="Y264" s="430"/>
      <c r="Z264" s="426">
        <f ca="1" t="shared" si="54"/>
        <v>5.9</v>
      </c>
    </row>
    <row r="265" spans="4:26">
      <c r="D265" s="3">
        <v>28</v>
      </c>
      <c r="E265" s="426">
        <f ca="1" t="shared" si="52"/>
        <v>6</v>
      </c>
      <c r="F265" s="436">
        <v>1.07</v>
      </c>
      <c r="G265" s="436"/>
      <c r="H265" s="427">
        <f t="shared" si="53"/>
        <v>4274</v>
      </c>
      <c r="I265" s="428">
        <f t="shared" si="50"/>
        <v>0</v>
      </c>
      <c r="J265" s="430"/>
      <c r="K265" s="430"/>
      <c r="L265" s="430"/>
      <c r="M265" s="430"/>
      <c r="N265" s="430"/>
      <c r="O265" s="430"/>
      <c r="P265" s="430"/>
      <c r="Q265" s="430"/>
      <c r="R265" s="430"/>
      <c r="S265" s="430"/>
      <c r="T265" s="430"/>
      <c r="U265" s="430"/>
      <c r="V265" s="430"/>
      <c r="W265" s="430"/>
      <c r="X265" s="430"/>
      <c r="Y265" s="430"/>
      <c r="Z265" s="426">
        <f ca="1" t="shared" si="54"/>
        <v>6.23333333333333</v>
      </c>
    </row>
    <row r="266" spans="4:26">
      <c r="D266" s="3">
        <v>29</v>
      </c>
      <c r="E266" s="426">
        <f ca="1" t="shared" si="52"/>
        <v>6</v>
      </c>
      <c r="F266" s="436">
        <v>1.07</v>
      </c>
      <c r="G266" s="436"/>
      <c r="H266" s="427">
        <f t="shared" si="53"/>
        <v>4573</v>
      </c>
      <c r="I266" s="428">
        <f t="shared" si="50"/>
        <v>0</v>
      </c>
      <c r="J266" s="430"/>
      <c r="K266" s="430"/>
      <c r="L266" s="428"/>
      <c r="M266" s="430"/>
      <c r="N266" s="430"/>
      <c r="O266" s="430"/>
      <c r="P266" s="430"/>
      <c r="Q266" s="430"/>
      <c r="R266" s="430"/>
      <c r="S266" s="430"/>
      <c r="T266" s="430"/>
      <c r="U266" s="430"/>
      <c r="V266" s="430"/>
      <c r="W266" s="430"/>
      <c r="X266" s="430"/>
      <c r="Y266" s="430"/>
      <c r="Z266" s="426">
        <f ca="1" t="shared" si="54"/>
        <v>6.56666666666667</v>
      </c>
    </row>
    <row r="267" spans="4:26">
      <c r="D267" s="3">
        <v>30</v>
      </c>
      <c r="E267" s="426">
        <f ca="1" t="shared" si="52"/>
        <v>6</v>
      </c>
      <c r="F267" s="436">
        <v>1.07</v>
      </c>
      <c r="G267" s="436"/>
      <c r="H267" s="427">
        <f t="shared" si="53"/>
        <v>4893</v>
      </c>
      <c r="I267" s="428">
        <f t="shared" si="50"/>
        <v>0</v>
      </c>
      <c r="J267" s="430"/>
      <c r="K267" s="430"/>
      <c r="L267" s="430"/>
      <c r="M267" s="430"/>
      <c r="N267" s="430"/>
      <c r="O267" s="430"/>
      <c r="P267" s="430"/>
      <c r="Q267" s="430"/>
      <c r="R267" s="430"/>
      <c r="S267" s="430"/>
      <c r="T267" s="430"/>
      <c r="U267" s="430"/>
      <c r="V267" s="430"/>
      <c r="W267" s="430"/>
      <c r="X267" s="430"/>
      <c r="Y267" s="430"/>
      <c r="Z267" s="426">
        <f ca="1" t="shared" si="54"/>
        <v>6.9</v>
      </c>
    </row>
    <row r="268" spans="4:26">
      <c r="D268" s="3">
        <v>31</v>
      </c>
      <c r="E268" s="426">
        <f ca="1" t="shared" si="52"/>
        <v>7</v>
      </c>
      <c r="F268" s="436">
        <v>1.07</v>
      </c>
      <c r="G268" s="436"/>
      <c r="H268" s="427">
        <f t="shared" si="53"/>
        <v>5235</v>
      </c>
      <c r="I268" s="428">
        <f t="shared" si="50"/>
        <v>0</v>
      </c>
      <c r="J268" s="430"/>
      <c r="K268" s="430"/>
      <c r="L268" s="430"/>
      <c r="M268" s="430"/>
      <c r="N268" s="430"/>
      <c r="O268" s="430"/>
      <c r="P268" s="430"/>
      <c r="Q268" s="430"/>
      <c r="R268" s="430"/>
      <c r="S268" s="430"/>
      <c r="T268" s="430"/>
      <c r="U268" s="430"/>
      <c r="V268" s="430"/>
      <c r="W268" s="430"/>
      <c r="X268" s="430"/>
      <c r="Y268" s="430"/>
      <c r="Z268" s="426">
        <f ca="1" t="shared" si="54"/>
        <v>7.23333333333333</v>
      </c>
    </row>
    <row r="269" spans="4:26">
      <c r="D269" s="3">
        <v>32</v>
      </c>
      <c r="E269" s="426">
        <f ca="1" t="shared" si="52"/>
        <v>7</v>
      </c>
      <c r="F269" s="436">
        <v>1.07</v>
      </c>
      <c r="G269" s="436"/>
      <c r="H269" s="427">
        <f t="shared" si="53"/>
        <v>5601</v>
      </c>
      <c r="I269" s="428">
        <f t="shared" si="50"/>
        <v>0</v>
      </c>
      <c r="J269" s="430"/>
      <c r="K269" s="430"/>
      <c r="L269" s="428"/>
      <c r="M269" s="430"/>
      <c r="N269" s="430"/>
      <c r="O269" s="430"/>
      <c r="P269" s="430"/>
      <c r="Q269" s="430"/>
      <c r="R269" s="430"/>
      <c r="S269" s="430"/>
      <c r="T269" s="430"/>
      <c r="U269" s="430"/>
      <c r="V269" s="430"/>
      <c r="W269" s="430"/>
      <c r="X269" s="430"/>
      <c r="Y269" s="430"/>
      <c r="Z269" s="426">
        <f ca="1" t="shared" si="54"/>
        <v>7.56666666666667</v>
      </c>
    </row>
    <row r="270" spans="4:26">
      <c r="D270" s="3">
        <v>33</v>
      </c>
      <c r="E270" s="426">
        <f ca="1" t="shared" si="52"/>
        <v>7</v>
      </c>
      <c r="F270" s="436">
        <v>1.07</v>
      </c>
      <c r="G270" s="436"/>
      <c r="H270" s="427">
        <f t="shared" si="53"/>
        <v>5993</v>
      </c>
      <c r="I270" s="428">
        <f t="shared" si="50"/>
        <v>0</v>
      </c>
      <c r="J270" s="430"/>
      <c r="K270" s="430"/>
      <c r="L270" s="430"/>
      <c r="M270" s="430"/>
      <c r="N270" s="430"/>
      <c r="O270" s="430"/>
      <c r="P270" s="430"/>
      <c r="Q270" s="430"/>
      <c r="R270" s="430"/>
      <c r="S270" s="430"/>
      <c r="T270" s="430"/>
      <c r="U270" s="430"/>
      <c r="V270" s="430"/>
      <c r="W270" s="430"/>
      <c r="X270" s="430"/>
      <c r="Y270" s="430"/>
      <c r="Z270" s="426">
        <f ca="1" t="shared" si="54"/>
        <v>7.9</v>
      </c>
    </row>
    <row r="271" spans="4:26">
      <c r="D271" s="3">
        <v>34</v>
      </c>
      <c r="E271" s="426">
        <f ca="1" t="shared" si="52"/>
        <v>8</v>
      </c>
      <c r="F271" s="436">
        <v>1.07</v>
      </c>
      <c r="G271" s="436"/>
      <c r="H271" s="427">
        <f t="shared" si="53"/>
        <v>6412</v>
      </c>
      <c r="I271" s="428">
        <f t="shared" si="50"/>
        <v>0</v>
      </c>
      <c r="J271" s="430"/>
      <c r="K271" s="430"/>
      <c r="L271" s="430"/>
      <c r="M271" s="430"/>
      <c r="N271" s="430"/>
      <c r="O271" s="430"/>
      <c r="P271" s="430"/>
      <c r="Q271" s="430"/>
      <c r="R271" s="430"/>
      <c r="S271" s="430"/>
      <c r="T271" s="430"/>
      <c r="U271" s="430"/>
      <c r="V271" s="430"/>
      <c r="W271" s="430"/>
      <c r="X271" s="430"/>
      <c r="Y271" s="430"/>
      <c r="Z271" s="426">
        <f ca="1" t="shared" si="54"/>
        <v>8.4</v>
      </c>
    </row>
    <row r="272" spans="4:26">
      <c r="D272" s="3">
        <v>35</v>
      </c>
      <c r="E272" s="426">
        <f ca="1" t="shared" si="52"/>
        <v>8</v>
      </c>
      <c r="F272" s="436">
        <v>1.07</v>
      </c>
      <c r="G272" s="436"/>
      <c r="H272" s="427">
        <f t="shared" si="53"/>
        <v>6860</v>
      </c>
      <c r="I272" s="428">
        <f t="shared" si="50"/>
        <v>0</v>
      </c>
      <c r="J272" s="430"/>
      <c r="K272" s="430"/>
      <c r="L272" s="430"/>
      <c r="M272" s="430"/>
      <c r="N272" s="430"/>
      <c r="O272" s="430"/>
      <c r="P272" s="430"/>
      <c r="Q272" s="430"/>
      <c r="R272" s="430"/>
      <c r="S272" s="430"/>
      <c r="T272" s="430"/>
      <c r="U272" s="430"/>
      <c r="V272" s="430"/>
      <c r="W272" s="430"/>
      <c r="X272" s="430"/>
      <c r="Y272" s="430"/>
      <c r="Z272" s="426">
        <f ca="1" t="shared" si="54"/>
        <v>8.9</v>
      </c>
    </row>
    <row r="273" spans="4:26">
      <c r="D273" s="3">
        <v>36</v>
      </c>
      <c r="E273" s="426">
        <f ca="1" t="shared" si="52"/>
        <v>9</v>
      </c>
      <c r="F273" s="436">
        <v>1.07</v>
      </c>
      <c r="G273" s="436"/>
      <c r="H273" s="427">
        <f t="shared" si="53"/>
        <v>7340</v>
      </c>
      <c r="I273" s="428">
        <f t="shared" si="50"/>
        <v>0</v>
      </c>
      <c r="J273" s="430"/>
      <c r="K273" s="430"/>
      <c r="L273" s="430"/>
      <c r="M273" s="430"/>
      <c r="N273" s="430"/>
      <c r="O273" s="430"/>
      <c r="P273" s="430"/>
      <c r="Q273" s="430"/>
      <c r="R273" s="430"/>
      <c r="S273" s="430"/>
      <c r="T273" s="430"/>
      <c r="U273" s="430"/>
      <c r="V273" s="430"/>
      <c r="W273" s="430"/>
      <c r="X273" s="430"/>
      <c r="Y273" s="430"/>
      <c r="Z273" s="426">
        <f ca="1" t="shared" si="54"/>
        <v>9.4</v>
      </c>
    </row>
    <row r="274" spans="4:26">
      <c r="D274" s="3">
        <v>37</v>
      </c>
      <c r="E274" s="426">
        <f ca="1" t="shared" si="52"/>
        <v>9</v>
      </c>
      <c r="F274" s="436">
        <v>1.07</v>
      </c>
      <c r="G274" s="436"/>
      <c r="H274" s="427">
        <f t="shared" si="53"/>
        <v>7853</v>
      </c>
      <c r="I274" s="428">
        <f t="shared" si="50"/>
        <v>0</v>
      </c>
      <c r="J274" s="430"/>
      <c r="K274" s="430"/>
      <c r="L274" s="430"/>
      <c r="M274" s="430"/>
      <c r="N274" s="430"/>
      <c r="O274" s="430"/>
      <c r="P274" s="430"/>
      <c r="Q274" s="430"/>
      <c r="R274" s="430"/>
      <c r="S274" s="430"/>
      <c r="T274" s="430"/>
      <c r="U274" s="430"/>
      <c r="V274" s="430"/>
      <c r="W274" s="430"/>
      <c r="X274" s="430"/>
      <c r="Y274" s="430"/>
      <c r="Z274" s="426">
        <f ca="1" t="shared" si="54"/>
        <v>9.9</v>
      </c>
    </row>
    <row r="275" spans="4:26">
      <c r="D275" s="3">
        <v>38</v>
      </c>
      <c r="E275" s="426">
        <f ca="1" t="shared" si="52"/>
        <v>10</v>
      </c>
      <c r="F275" s="436">
        <v>1.07</v>
      </c>
      <c r="G275" s="436"/>
      <c r="H275" s="427">
        <f t="shared" si="53"/>
        <v>8402</v>
      </c>
      <c r="I275" s="428">
        <f t="shared" si="50"/>
        <v>0</v>
      </c>
      <c r="J275" s="430"/>
      <c r="K275" s="430"/>
      <c r="L275" s="430"/>
      <c r="M275" s="430"/>
      <c r="N275" s="430"/>
      <c r="O275" s="430"/>
      <c r="P275" s="430"/>
      <c r="Q275" s="430"/>
      <c r="R275" s="430"/>
      <c r="S275" s="430"/>
      <c r="T275" s="430"/>
      <c r="U275" s="430"/>
      <c r="V275" s="430"/>
      <c r="W275" s="430"/>
      <c r="X275" s="430"/>
      <c r="Y275" s="430"/>
      <c r="Z275" s="426">
        <f ca="1" t="shared" si="54"/>
        <v>10.4</v>
      </c>
    </row>
    <row r="276" spans="4:26">
      <c r="D276" s="3">
        <v>39</v>
      </c>
      <c r="E276" s="426">
        <f ca="1" t="shared" si="52"/>
        <v>10</v>
      </c>
      <c r="F276" s="436">
        <v>1.07</v>
      </c>
      <c r="G276" s="436"/>
      <c r="H276" s="427">
        <f t="shared" si="53"/>
        <v>8990</v>
      </c>
      <c r="I276" s="428">
        <f t="shared" si="50"/>
        <v>0</v>
      </c>
      <c r="J276" s="430"/>
      <c r="K276" s="430"/>
      <c r="L276" s="430"/>
      <c r="M276" s="430"/>
      <c r="N276" s="430"/>
      <c r="O276" s="430"/>
      <c r="P276" s="430"/>
      <c r="Q276" s="430"/>
      <c r="R276" s="430"/>
      <c r="S276" s="430"/>
      <c r="T276" s="430"/>
      <c r="U276" s="430"/>
      <c r="V276" s="430"/>
      <c r="W276" s="430"/>
      <c r="X276" s="430"/>
      <c r="Y276" s="430"/>
      <c r="Z276" s="426">
        <f ca="1" t="shared" si="54"/>
        <v>10.9</v>
      </c>
    </row>
    <row r="277" spans="4:26">
      <c r="D277" s="3">
        <v>40</v>
      </c>
      <c r="E277" s="426">
        <f ca="1" t="shared" si="52"/>
        <v>11</v>
      </c>
      <c r="F277" s="436">
        <v>1.07</v>
      </c>
      <c r="G277" s="436"/>
      <c r="H277" s="427">
        <f t="shared" si="53"/>
        <v>9619</v>
      </c>
      <c r="I277" s="428">
        <f t="shared" si="50"/>
        <v>0</v>
      </c>
      <c r="J277" s="430"/>
      <c r="K277" s="430"/>
      <c r="L277" s="430"/>
      <c r="M277" s="430"/>
      <c r="N277" s="430"/>
      <c r="O277" s="430"/>
      <c r="P277" s="430"/>
      <c r="Q277" s="430"/>
      <c r="R277" s="430"/>
      <c r="S277" s="430"/>
      <c r="T277" s="430"/>
      <c r="U277" s="430"/>
      <c r="V277" s="430"/>
      <c r="W277" s="430"/>
      <c r="X277" s="430"/>
      <c r="Y277" s="430"/>
      <c r="Z277" s="426">
        <f ca="1" t="shared" si="54"/>
        <v>11.4</v>
      </c>
    </row>
    <row r="278" spans="4:26">
      <c r="D278" s="3">
        <v>41</v>
      </c>
      <c r="E278" s="426">
        <f ca="1" t="shared" si="52"/>
        <v>11</v>
      </c>
      <c r="F278" s="436">
        <v>1.07</v>
      </c>
      <c r="G278" s="436"/>
      <c r="H278" s="427">
        <f t="shared" si="53"/>
        <v>10292</v>
      </c>
      <c r="I278" s="428">
        <f t="shared" si="50"/>
        <v>0</v>
      </c>
      <c r="J278" s="430"/>
      <c r="K278" s="430"/>
      <c r="L278" s="430"/>
      <c r="M278" s="430"/>
      <c r="N278" s="430"/>
      <c r="O278" s="430"/>
      <c r="P278" s="430"/>
      <c r="Q278" s="430"/>
      <c r="R278" s="430"/>
      <c r="S278" s="430"/>
      <c r="T278" s="430"/>
      <c r="U278" s="430"/>
      <c r="V278" s="430"/>
      <c r="W278" s="430"/>
      <c r="X278" s="430"/>
      <c r="Y278" s="430"/>
      <c r="Z278" s="426">
        <f ca="1" t="shared" si="54"/>
        <v>11.9</v>
      </c>
    </row>
    <row r="279" spans="4:26">
      <c r="D279" s="3">
        <v>42</v>
      </c>
      <c r="E279" s="426">
        <f ca="1" t="shared" si="52"/>
        <v>12</v>
      </c>
      <c r="F279" s="436">
        <v>1.07</v>
      </c>
      <c r="G279" s="436"/>
      <c r="H279" s="427">
        <f t="shared" si="53"/>
        <v>11012</v>
      </c>
      <c r="I279" s="428">
        <f t="shared" si="50"/>
        <v>0</v>
      </c>
      <c r="J279" s="430"/>
      <c r="K279" s="430"/>
      <c r="L279" s="430"/>
      <c r="M279" s="430"/>
      <c r="N279" s="430"/>
      <c r="O279" s="430"/>
      <c r="P279" s="430"/>
      <c r="Q279" s="430"/>
      <c r="R279" s="430"/>
      <c r="S279" s="430"/>
      <c r="T279" s="430"/>
      <c r="U279" s="430"/>
      <c r="V279" s="430"/>
      <c r="W279" s="430"/>
      <c r="X279" s="430"/>
      <c r="Y279" s="430"/>
      <c r="Z279" s="426">
        <f ca="1" t="shared" si="54"/>
        <v>12.4</v>
      </c>
    </row>
    <row r="280" spans="4:26">
      <c r="D280" s="3">
        <v>43</v>
      </c>
      <c r="E280" s="426">
        <f ca="1" t="shared" si="52"/>
        <v>12</v>
      </c>
      <c r="F280" s="436">
        <v>1.07</v>
      </c>
      <c r="G280" s="436"/>
      <c r="H280" s="427">
        <f t="shared" si="53"/>
        <v>11782</v>
      </c>
      <c r="I280" s="428">
        <f t="shared" si="50"/>
        <v>0</v>
      </c>
      <c r="J280" s="430"/>
      <c r="K280" s="430"/>
      <c r="L280" s="430"/>
      <c r="M280" s="430"/>
      <c r="N280" s="430"/>
      <c r="O280" s="430"/>
      <c r="P280" s="430"/>
      <c r="Q280" s="430"/>
      <c r="R280" s="430"/>
      <c r="S280" s="430"/>
      <c r="T280" s="430"/>
      <c r="U280" s="430"/>
      <c r="V280" s="430"/>
      <c r="W280" s="430"/>
      <c r="X280" s="430"/>
      <c r="Y280" s="430"/>
      <c r="Z280" s="426">
        <f ca="1" t="shared" si="54"/>
        <v>12.9</v>
      </c>
    </row>
    <row r="281" spans="4:26">
      <c r="D281" s="3">
        <v>44</v>
      </c>
      <c r="E281" s="426">
        <f ca="1" t="shared" si="52"/>
        <v>13</v>
      </c>
      <c r="F281" s="436">
        <v>1.07</v>
      </c>
      <c r="G281" s="436"/>
      <c r="H281" s="427">
        <f t="shared" si="53"/>
        <v>12606</v>
      </c>
      <c r="I281" s="428">
        <f t="shared" si="50"/>
        <v>0</v>
      </c>
      <c r="J281" s="430"/>
      <c r="K281" s="430"/>
      <c r="L281" s="430"/>
      <c r="M281" s="430"/>
      <c r="N281" s="430"/>
      <c r="O281" s="430"/>
      <c r="P281" s="430"/>
      <c r="Q281" s="430"/>
      <c r="R281" s="430"/>
      <c r="S281" s="430"/>
      <c r="T281" s="430"/>
      <c r="U281" s="430"/>
      <c r="V281" s="430"/>
      <c r="W281" s="430"/>
      <c r="X281" s="430"/>
      <c r="Y281" s="430"/>
      <c r="Z281" s="426">
        <f ca="1" t="shared" si="54"/>
        <v>13.4</v>
      </c>
    </row>
    <row r="282" spans="4:26">
      <c r="D282" s="3">
        <v>45</v>
      </c>
      <c r="E282" s="426">
        <f ca="1" t="shared" si="52"/>
        <v>13</v>
      </c>
      <c r="F282" s="436">
        <v>1.07</v>
      </c>
      <c r="G282" s="436"/>
      <c r="H282" s="427">
        <f t="shared" si="53"/>
        <v>13488</v>
      </c>
      <c r="I282" s="428">
        <f t="shared" si="50"/>
        <v>0</v>
      </c>
      <c r="J282" s="430"/>
      <c r="K282" s="430"/>
      <c r="L282" s="430"/>
      <c r="M282" s="430"/>
      <c r="N282" s="430"/>
      <c r="O282" s="430"/>
      <c r="P282" s="430"/>
      <c r="Q282" s="430"/>
      <c r="R282" s="430"/>
      <c r="S282" s="430"/>
      <c r="T282" s="430"/>
      <c r="U282" s="430"/>
      <c r="V282" s="430"/>
      <c r="W282" s="430"/>
      <c r="X282" s="430"/>
      <c r="Y282" s="430"/>
      <c r="Z282" s="426">
        <f ca="1" t="shared" si="54"/>
        <v>13.9</v>
      </c>
    </row>
    <row r="283" spans="4:26">
      <c r="D283" s="3">
        <v>46</v>
      </c>
      <c r="E283" s="426">
        <f ca="1" t="shared" si="52"/>
        <v>14</v>
      </c>
      <c r="F283" s="436">
        <v>1.07</v>
      </c>
      <c r="G283" s="436"/>
      <c r="H283" s="427">
        <f t="shared" si="53"/>
        <v>14432</v>
      </c>
      <c r="I283" s="428">
        <f t="shared" si="50"/>
        <v>0</v>
      </c>
      <c r="J283" s="430"/>
      <c r="K283" s="430"/>
      <c r="L283" s="430"/>
      <c r="M283" s="430"/>
      <c r="N283" s="430"/>
      <c r="O283" s="430"/>
      <c r="P283" s="430"/>
      <c r="Q283" s="430"/>
      <c r="R283" s="430"/>
      <c r="S283" s="430"/>
      <c r="T283" s="430"/>
      <c r="U283" s="430"/>
      <c r="V283" s="430"/>
      <c r="W283" s="430"/>
      <c r="X283" s="430"/>
      <c r="Y283" s="430"/>
      <c r="Z283" s="426">
        <f ca="1" t="shared" si="54"/>
        <v>14.4</v>
      </c>
    </row>
    <row r="284" spans="4:26">
      <c r="D284" s="3">
        <v>47</v>
      </c>
      <c r="E284" s="426">
        <f ca="1" t="shared" si="52"/>
        <v>14</v>
      </c>
      <c r="F284" s="436">
        <v>1.07</v>
      </c>
      <c r="G284" s="436"/>
      <c r="H284" s="427">
        <f t="shared" si="53"/>
        <v>15442</v>
      </c>
      <c r="I284" s="428">
        <f t="shared" si="50"/>
        <v>0</v>
      </c>
      <c r="J284" s="430"/>
      <c r="K284" s="430"/>
      <c r="L284" s="430"/>
      <c r="M284" s="430"/>
      <c r="N284" s="430"/>
      <c r="O284" s="430"/>
      <c r="P284" s="430"/>
      <c r="Q284" s="430"/>
      <c r="R284" s="430"/>
      <c r="S284" s="430"/>
      <c r="T284" s="430"/>
      <c r="U284" s="430"/>
      <c r="V284" s="430"/>
      <c r="W284" s="430"/>
      <c r="X284" s="430"/>
      <c r="Y284" s="430"/>
      <c r="Z284" s="426">
        <f ca="1" t="shared" si="54"/>
        <v>14.9</v>
      </c>
    </row>
    <row r="285" spans="4:26">
      <c r="D285" s="3">
        <v>48</v>
      </c>
      <c r="E285" s="426">
        <f ca="1" t="shared" si="52"/>
        <v>15</v>
      </c>
      <c r="F285" s="436">
        <v>1.07</v>
      </c>
      <c r="G285" s="436"/>
      <c r="H285" s="427">
        <f t="shared" si="53"/>
        <v>16522</v>
      </c>
      <c r="I285" s="428">
        <f t="shared" si="50"/>
        <v>0</v>
      </c>
      <c r="J285" s="430"/>
      <c r="K285" s="430"/>
      <c r="L285" s="430"/>
      <c r="M285" s="430"/>
      <c r="N285" s="430"/>
      <c r="O285" s="430"/>
      <c r="P285" s="430"/>
      <c r="Q285" s="430"/>
      <c r="R285" s="430"/>
      <c r="S285" s="430"/>
      <c r="T285" s="430"/>
      <c r="U285" s="430"/>
      <c r="V285" s="430"/>
      <c r="W285" s="430"/>
      <c r="X285" s="430"/>
      <c r="Y285" s="430"/>
      <c r="Z285" s="426">
        <f ca="1" t="shared" si="54"/>
        <v>15.9</v>
      </c>
    </row>
    <row r="286" spans="4:26">
      <c r="D286" s="3">
        <v>49</v>
      </c>
      <c r="E286" s="426">
        <f ca="1" t="shared" si="52"/>
        <v>16</v>
      </c>
      <c r="F286" s="436">
        <v>1.07</v>
      </c>
      <c r="G286" s="436"/>
      <c r="H286" s="427">
        <f t="shared" si="53"/>
        <v>17678</v>
      </c>
      <c r="I286" s="428">
        <f t="shared" si="50"/>
        <v>0</v>
      </c>
      <c r="J286" s="430"/>
      <c r="K286" s="430"/>
      <c r="L286" s="430"/>
      <c r="M286" s="430"/>
      <c r="N286" s="430"/>
      <c r="O286" s="430"/>
      <c r="P286" s="430"/>
      <c r="Q286" s="430"/>
      <c r="R286" s="430"/>
      <c r="S286" s="430"/>
      <c r="T286" s="430"/>
      <c r="U286" s="430"/>
      <c r="V286" s="430"/>
      <c r="W286" s="430"/>
      <c r="X286" s="430"/>
      <c r="Y286" s="430"/>
      <c r="Z286" s="426">
        <f ca="1" t="shared" si="54"/>
        <v>16.9</v>
      </c>
    </row>
    <row r="287" spans="4:26">
      <c r="D287" s="3">
        <v>50</v>
      </c>
      <c r="E287" s="426">
        <f ca="1" t="shared" si="52"/>
        <v>17</v>
      </c>
      <c r="F287" s="436">
        <v>1.07</v>
      </c>
      <c r="G287" s="436"/>
      <c r="H287" s="427">
        <f t="shared" si="53"/>
        <v>18915</v>
      </c>
      <c r="I287" s="428">
        <f t="shared" si="50"/>
        <v>0</v>
      </c>
      <c r="J287" s="430"/>
      <c r="K287" s="430"/>
      <c r="L287" s="430"/>
      <c r="M287" s="430"/>
      <c r="N287" s="430"/>
      <c r="O287" s="430"/>
      <c r="P287" s="430"/>
      <c r="Q287" s="430"/>
      <c r="R287" s="430"/>
      <c r="S287" s="430"/>
      <c r="T287" s="430"/>
      <c r="U287" s="430"/>
      <c r="V287" s="430"/>
      <c r="W287" s="430"/>
      <c r="X287" s="430"/>
      <c r="Y287" s="430"/>
      <c r="Z287" s="426">
        <f ca="1" t="shared" si="54"/>
        <v>17.9</v>
      </c>
    </row>
    <row r="288" spans="4:26">
      <c r="D288" s="3">
        <v>51</v>
      </c>
      <c r="E288" s="426">
        <f ca="1" t="shared" si="52"/>
        <v>18</v>
      </c>
      <c r="F288" s="436">
        <v>1.07</v>
      </c>
      <c r="G288" s="436"/>
      <c r="H288" s="427">
        <f t="shared" si="53"/>
        <v>20239</v>
      </c>
      <c r="I288" s="428">
        <f t="shared" si="50"/>
        <v>0</v>
      </c>
      <c r="J288" s="430"/>
      <c r="K288" s="430"/>
      <c r="L288" s="430"/>
      <c r="M288" s="430"/>
      <c r="N288" s="430"/>
      <c r="O288" s="430"/>
      <c r="P288" s="430"/>
      <c r="Q288" s="430"/>
      <c r="R288" s="430"/>
      <c r="S288" s="430"/>
      <c r="T288" s="430"/>
      <c r="U288" s="430"/>
      <c r="V288" s="430"/>
      <c r="W288" s="430"/>
      <c r="X288" s="430"/>
      <c r="Y288" s="430"/>
      <c r="Z288" s="426">
        <f ca="1" t="shared" si="54"/>
        <v>18.9</v>
      </c>
    </row>
    <row r="289" spans="4:26">
      <c r="D289" s="3">
        <v>52</v>
      </c>
      <c r="E289" s="426">
        <f ca="1" t="shared" si="52"/>
        <v>19</v>
      </c>
      <c r="F289" s="436">
        <v>1.07</v>
      </c>
      <c r="G289" s="436"/>
      <c r="H289" s="427">
        <f t="shared" si="53"/>
        <v>21655</v>
      </c>
      <c r="I289" s="428">
        <f t="shared" si="50"/>
        <v>0</v>
      </c>
      <c r="J289" s="430"/>
      <c r="K289" s="430"/>
      <c r="L289" s="430"/>
      <c r="M289" s="430"/>
      <c r="N289" s="430"/>
      <c r="O289" s="430"/>
      <c r="P289" s="430"/>
      <c r="Q289" s="430"/>
      <c r="R289" s="430"/>
      <c r="S289" s="430"/>
      <c r="T289" s="430"/>
      <c r="U289" s="430"/>
      <c r="V289" s="430"/>
      <c r="W289" s="430"/>
      <c r="X289" s="430"/>
      <c r="Y289" s="430"/>
      <c r="Z289" s="426">
        <f ca="1" t="shared" si="54"/>
        <v>19.9</v>
      </c>
    </row>
    <row r="290" spans="4:26">
      <c r="D290" s="3">
        <v>53</v>
      </c>
      <c r="E290" s="426">
        <f ca="1" t="shared" si="52"/>
        <v>20</v>
      </c>
      <c r="F290" s="436">
        <v>1.07</v>
      </c>
      <c r="G290" s="436"/>
      <c r="H290" s="427">
        <f t="shared" si="53"/>
        <v>23170</v>
      </c>
      <c r="I290" s="428">
        <f t="shared" si="50"/>
        <v>0</v>
      </c>
      <c r="J290" s="430"/>
      <c r="K290" s="430"/>
      <c r="L290" s="430"/>
      <c r="M290" s="430"/>
      <c r="N290" s="430"/>
      <c r="O290" s="430"/>
      <c r="P290" s="430"/>
      <c r="Q290" s="430"/>
      <c r="R290" s="430"/>
      <c r="S290" s="430"/>
      <c r="T290" s="430"/>
      <c r="U290" s="430"/>
      <c r="V290" s="430"/>
      <c r="W290" s="430"/>
      <c r="X290" s="430"/>
      <c r="Y290" s="430"/>
      <c r="Z290" s="426">
        <f ca="1" t="shared" si="54"/>
        <v>20.9</v>
      </c>
    </row>
    <row r="291" spans="4:26">
      <c r="D291" s="3">
        <v>54</v>
      </c>
      <c r="E291" s="426">
        <f ca="1" t="shared" si="52"/>
        <v>21</v>
      </c>
      <c r="F291" s="436">
        <v>1.07</v>
      </c>
      <c r="G291" s="436"/>
      <c r="H291" s="427">
        <f t="shared" si="53"/>
        <v>24791</v>
      </c>
      <c r="I291" s="428">
        <f t="shared" si="50"/>
        <v>0</v>
      </c>
      <c r="J291" s="430"/>
      <c r="K291" s="430"/>
      <c r="L291" s="430"/>
      <c r="M291" s="430"/>
      <c r="N291" s="430"/>
      <c r="O291" s="430"/>
      <c r="P291" s="430"/>
      <c r="Q291" s="430"/>
      <c r="R291" s="430"/>
      <c r="S291" s="430"/>
      <c r="T291" s="430"/>
      <c r="U291" s="430"/>
      <c r="V291" s="430"/>
      <c r="W291" s="430"/>
      <c r="X291" s="430"/>
      <c r="Y291" s="430"/>
      <c r="Z291" s="426">
        <f ca="1" t="shared" si="54"/>
        <v>21.9</v>
      </c>
    </row>
    <row r="292" spans="4:26">
      <c r="D292" s="3">
        <v>55</v>
      </c>
      <c r="E292" s="426">
        <f ca="1" t="shared" si="52"/>
        <v>22</v>
      </c>
      <c r="F292" s="436">
        <v>1.07</v>
      </c>
      <c r="G292" s="436"/>
      <c r="H292" s="427">
        <f t="shared" si="53"/>
        <v>26526</v>
      </c>
      <c r="I292" s="428">
        <f t="shared" si="50"/>
        <v>0</v>
      </c>
      <c r="J292" s="430"/>
      <c r="K292" s="430"/>
      <c r="L292" s="430"/>
      <c r="M292" s="430"/>
      <c r="N292" s="430"/>
      <c r="O292" s="430"/>
      <c r="P292" s="430"/>
      <c r="Q292" s="430"/>
      <c r="R292" s="430"/>
      <c r="S292" s="430"/>
      <c r="T292" s="430"/>
      <c r="U292" s="430"/>
      <c r="V292" s="430"/>
      <c r="W292" s="430"/>
      <c r="X292" s="430"/>
      <c r="Y292" s="430"/>
      <c r="Z292" s="426">
        <f ca="1" t="shared" si="54"/>
        <v>22.9</v>
      </c>
    </row>
    <row r="293" spans="4:26">
      <c r="D293" s="3">
        <v>56</v>
      </c>
      <c r="E293" s="426">
        <f ca="1" t="shared" si="52"/>
        <v>23</v>
      </c>
      <c r="F293" s="436">
        <v>1.07</v>
      </c>
      <c r="G293" s="436"/>
      <c r="H293" s="427">
        <f t="shared" si="53"/>
        <v>28382</v>
      </c>
      <c r="I293" s="428">
        <f t="shared" si="50"/>
        <v>0</v>
      </c>
      <c r="J293" s="430"/>
      <c r="K293" s="430"/>
      <c r="L293" s="430"/>
      <c r="M293" s="430"/>
      <c r="N293" s="430"/>
      <c r="O293" s="430"/>
      <c r="P293" s="430"/>
      <c r="Q293" s="430"/>
      <c r="R293" s="430"/>
      <c r="S293" s="430"/>
      <c r="T293" s="430"/>
      <c r="U293" s="430"/>
      <c r="V293" s="430"/>
      <c r="W293" s="430"/>
      <c r="X293" s="430"/>
      <c r="Y293" s="430"/>
      <c r="Z293" s="426">
        <f ca="1" t="shared" si="54"/>
        <v>23.9</v>
      </c>
    </row>
    <row r="294" spans="4:26">
      <c r="D294" s="3">
        <v>57</v>
      </c>
      <c r="E294" s="426">
        <f ca="1" t="shared" si="52"/>
        <v>24</v>
      </c>
      <c r="F294" s="436">
        <v>1.07</v>
      </c>
      <c r="G294" s="436"/>
      <c r="H294" s="427">
        <f t="shared" si="53"/>
        <v>30368</v>
      </c>
      <c r="I294" s="428">
        <f t="shared" si="50"/>
        <v>0</v>
      </c>
      <c r="J294" s="430"/>
      <c r="K294" s="430"/>
      <c r="L294" s="430"/>
      <c r="M294" s="430"/>
      <c r="N294" s="430"/>
      <c r="O294" s="430"/>
      <c r="P294" s="430"/>
      <c r="Q294" s="430"/>
      <c r="R294" s="430"/>
      <c r="S294" s="430"/>
      <c r="T294" s="430"/>
      <c r="U294" s="430"/>
      <c r="V294" s="430"/>
      <c r="W294" s="430"/>
      <c r="X294" s="430"/>
      <c r="Y294" s="430"/>
      <c r="Z294" s="426">
        <f ca="1" t="shared" si="54"/>
        <v>24.9</v>
      </c>
    </row>
    <row r="295" spans="4:26">
      <c r="D295" s="3">
        <v>58</v>
      </c>
      <c r="E295" s="426">
        <f ca="1" t="shared" si="52"/>
        <v>25</v>
      </c>
      <c r="F295" s="436">
        <v>1.07</v>
      </c>
      <c r="G295" s="436"/>
      <c r="H295" s="427">
        <f t="shared" si="53"/>
        <v>32493</v>
      </c>
      <c r="I295" s="428">
        <f t="shared" si="50"/>
        <v>0</v>
      </c>
      <c r="J295" s="430"/>
      <c r="K295" s="430"/>
      <c r="L295" s="430"/>
      <c r="M295" s="430"/>
      <c r="N295" s="430"/>
      <c r="O295" s="430"/>
      <c r="P295" s="430"/>
      <c r="Q295" s="430"/>
      <c r="R295" s="430"/>
      <c r="S295" s="430"/>
      <c r="T295" s="430"/>
      <c r="U295" s="430"/>
      <c r="V295" s="430"/>
      <c r="W295" s="430"/>
      <c r="X295" s="430"/>
      <c r="Y295" s="430"/>
      <c r="Z295" s="426">
        <f ca="1" t="shared" si="54"/>
        <v>25.9</v>
      </c>
    </row>
    <row r="296" spans="4:26">
      <c r="D296" s="3">
        <v>59</v>
      </c>
      <c r="E296" s="426">
        <f ca="1" t="shared" si="52"/>
        <v>26</v>
      </c>
      <c r="F296" s="436">
        <v>1.07</v>
      </c>
      <c r="G296" s="436"/>
      <c r="H296" s="427">
        <f t="shared" si="53"/>
        <v>34767</v>
      </c>
      <c r="I296" s="428">
        <f t="shared" si="50"/>
        <v>0</v>
      </c>
      <c r="J296" s="430"/>
      <c r="K296" s="430"/>
      <c r="L296" s="430"/>
      <c r="M296" s="430"/>
      <c r="N296" s="430"/>
      <c r="O296" s="430"/>
      <c r="P296" s="430"/>
      <c r="Q296" s="430"/>
      <c r="R296" s="430"/>
      <c r="S296" s="430"/>
      <c r="T296" s="430"/>
      <c r="U296" s="430"/>
      <c r="V296" s="430"/>
      <c r="W296" s="430"/>
      <c r="X296" s="430"/>
      <c r="Y296" s="430"/>
      <c r="Z296" s="426">
        <f ca="1" t="shared" si="54"/>
        <v>26.9</v>
      </c>
    </row>
    <row r="297" spans="4:26">
      <c r="D297" s="3">
        <v>60</v>
      </c>
      <c r="E297" s="426">
        <f ca="1" t="shared" si="52"/>
        <v>27</v>
      </c>
      <c r="F297" s="436">
        <v>1.07</v>
      </c>
      <c r="G297" s="436"/>
      <c r="H297" s="427">
        <f t="shared" si="53"/>
        <v>37200</v>
      </c>
      <c r="I297" s="428">
        <f t="shared" si="50"/>
        <v>0</v>
      </c>
      <c r="J297" s="430"/>
      <c r="K297" s="430"/>
      <c r="L297" s="430"/>
      <c r="M297" s="430"/>
      <c r="N297" s="430"/>
      <c r="O297" s="430"/>
      <c r="P297" s="430"/>
      <c r="Q297" s="430"/>
      <c r="R297" s="430"/>
      <c r="S297" s="430"/>
      <c r="T297" s="430"/>
      <c r="U297" s="430"/>
      <c r="V297" s="430"/>
      <c r="W297" s="430"/>
      <c r="X297" s="430"/>
      <c r="Y297" s="430"/>
      <c r="Z297" s="426">
        <f ca="1" t="shared" si="54"/>
        <v>27.9</v>
      </c>
    </row>
    <row r="298" spans="4:26">
      <c r="D298" s="3">
        <v>61</v>
      </c>
      <c r="E298" s="426">
        <f ca="1" t="shared" si="52"/>
        <v>28</v>
      </c>
      <c r="F298" s="436">
        <v>1.07</v>
      </c>
      <c r="G298" s="436"/>
      <c r="H298" s="427">
        <f t="shared" si="53"/>
        <v>39804</v>
      </c>
      <c r="I298" s="428">
        <f t="shared" si="50"/>
        <v>0</v>
      </c>
      <c r="J298" s="430"/>
      <c r="K298" s="430"/>
      <c r="L298" s="430"/>
      <c r="M298" s="430"/>
      <c r="N298" s="430"/>
      <c r="O298" s="430"/>
      <c r="P298" s="430"/>
      <c r="Q298" s="430"/>
      <c r="R298" s="430"/>
      <c r="S298" s="430"/>
      <c r="T298" s="430"/>
      <c r="U298" s="430"/>
      <c r="V298" s="430"/>
      <c r="W298" s="430"/>
      <c r="X298" s="430"/>
      <c r="Y298" s="430"/>
      <c r="Z298" s="426">
        <f ca="1" t="shared" si="54"/>
        <v>28.9</v>
      </c>
    </row>
    <row r="299" spans="4:26">
      <c r="D299" s="3">
        <v>62</v>
      </c>
      <c r="E299" s="426">
        <f ca="1" t="shared" si="52"/>
        <v>29</v>
      </c>
      <c r="F299" s="436">
        <v>1.07</v>
      </c>
      <c r="G299" s="436"/>
      <c r="H299" s="427">
        <f t="shared" si="53"/>
        <v>42590</v>
      </c>
      <c r="I299" s="428">
        <f t="shared" si="50"/>
        <v>0</v>
      </c>
      <c r="J299" s="430"/>
      <c r="K299" s="430"/>
      <c r="L299" s="430"/>
      <c r="M299" s="430"/>
      <c r="N299" s="430"/>
      <c r="O299" s="430"/>
      <c r="P299" s="430"/>
      <c r="Q299" s="430"/>
      <c r="R299" s="430"/>
      <c r="S299" s="430"/>
      <c r="T299" s="430"/>
      <c r="U299" s="430"/>
      <c r="V299" s="430"/>
      <c r="W299" s="430"/>
      <c r="X299" s="430"/>
      <c r="Y299" s="430"/>
      <c r="Z299" s="426">
        <f ca="1" t="shared" si="54"/>
        <v>29.9</v>
      </c>
    </row>
    <row r="300" spans="4:26">
      <c r="D300" s="3">
        <v>63</v>
      </c>
      <c r="E300" s="426">
        <f ca="1" t="shared" si="52"/>
        <v>30</v>
      </c>
      <c r="F300" s="436">
        <v>1.07</v>
      </c>
      <c r="G300" s="436"/>
      <c r="H300" s="427">
        <f t="shared" si="53"/>
        <v>45571</v>
      </c>
      <c r="I300" s="428">
        <f t="shared" si="50"/>
        <v>0</v>
      </c>
      <c r="J300" s="430"/>
      <c r="K300" s="430"/>
      <c r="L300" s="430"/>
      <c r="M300" s="430"/>
      <c r="N300" s="430"/>
      <c r="O300" s="430"/>
      <c r="P300" s="430"/>
      <c r="Q300" s="430"/>
      <c r="R300" s="430"/>
      <c r="S300" s="430"/>
      <c r="T300" s="430"/>
      <c r="U300" s="430"/>
      <c r="V300" s="430"/>
      <c r="W300" s="430"/>
      <c r="X300" s="430"/>
      <c r="Y300" s="430"/>
      <c r="Z300" s="426">
        <f ca="1" t="shared" si="54"/>
        <v>30.9</v>
      </c>
    </row>
    <row r="301" spans="4:26">
      <c r="D301" s="3">
        <v>64</v>
      </c>
      <c r="E301" s="426">
        <f ca="1" t="shared" si="52"/>
        <v>31</v>
      </c>
      <c r="F301" s="436">
        <v>1.07</v>
      </c>
      <c r="G301" s="436"/>
      <c r="H301" s="427">
        <f t="shared" si="53"/>
        <v>48760</v>
      </c>
      <c r="I301" s="428">
        <f t="shared" si="50"/>
        <v>0</v>
      </c>
      <c r="J301" s="430"/>
      <c r="K301" s="430"/>
      <c r="L301" s="430"/>
      <c r="M301" s="430"/>
      <c r="N301" s="430"/>
      <c r="O301" s="430"/>
      <c r="P301" s="430"/>
      <c r="Q301" s="430"/>
      <c r="R301" s="430"/>
      <c r="S301" s="430"/>
      <c r="T301" s="430"/>
      <c r="U301" s="430"/>
      <c r="V301" s="430"/>
      <c r="W301" s="430"/>
      <c r="X301" s="430"/>
      <c r="Y301" s="430"/>
      <c r="Z301" s="426">
        <f ca="1" t="shared" si="54"/>
        <v>31.9</v>
      </c>
    </row>
    <row r="302" spans="4:26">
      <c r="D302" s="3">
        <v>65</v>
      </c>
      <c r="E302" s="426">
        <f ca="1" t="shared" si="52"/>
        <v>32</v>
      </c>
      <c r="F302" s="436">
        <v>1.07</v>
      </c>
      <c r="G302" s="436"/>
      <c r="H302" s="427">
        <f t="shared" si="53"/>
        <v>52173</v>
      </c>
      <c r="I302" s="428">
        <f t="shared" ref="I302:I365" si="55">(J302+Q302)*K302*L302*M302*N302*O302*P302*R302*S302*T302*U302*V302*Y302/H302</f>
        <v>0</v>
      </c>
      <c r="J302" s="430"/>
      <c r="K302" s="430"/>
      <c r="L302" s="430"/>
      <c r="M302" s="430"/>
      <c r="N302" s="430"/>
      <c r="O302" s="430"/>
      <c r="P302" s="430"/>
      <c r="Q302" s="430"/>
      <c r="R302" s="430"/>
      <c r="S302" s="430"/>
      <c r="T302" s="430"/>
      <c r="U302" s="430"/>
      <c r="V302" s="430"/>
      <c r="W302" s="430"/>
      <c r="X302" s="430"/>
      <c r="Y302" s="430"/>
      <c r="Z302" s="426">
        <f ca="1" t="shared" si="54"/>
        <v>32.9</v>
      </c>
    </row>
    <row r="303" spans="4:26">
      <c r="D303" s="3">
        <v>66</v>
      </c>
      <c r="E303" s="426">
        <f ca="1" t="shared" ref="E303:E366" si="56">INT(Z303)</f>
        <v>33</v>
      </c>
      <c r="F303" s="436">
        <v>1.07</v>
      </c>
      <c r="G303" s="436"/>
      <c r="H303" s="427">
        <f t="shared" ref="H303:H366" si="57">INT(H302*F303)</f>
        <v>55825</v>
      </c>
      <c r="I303" s="428">
        <f t="shared" si="55"/>
        <v>0</v>
      </c>
      <c r="J303" s="430"/>
      <c r="K303" s="430"/>
      <c r="L303" s="430"/>
      <c r="M303" s="430"/>
      <c r="N303" s="430"/>
      <c r="O303" s="430"/>
      <c r="P303" s="430"/>
      <c r="Q303" s="430"/>
      <c r="R303" s="430"/>
      <c r="S303" s="430"/>
      <c r="T303" s="430"/>
      <c r="U303" s="430"/>
      <c r="V303" s="430"/>
      <c r="W303" s="430"/>
      <c r="X303" s="430"/>
      <c r="Y303" s="430"/>
      <c r="Z303" s="426">
        <f ca="1" t="shared" ref="Z303:Z366" si="58">Z302+1/OFFSET($F$63,IFERROR(MATCH(D302,$E$149:$E$181,1)+1,1),0)</f>
        <v>33.9</v>
      </c>
    </row>
    <row r="304" spans="4:26">
      <c r="D304" s="3">
        <v>67</v>
      </c>
      <c r="E304" s="426">
        <f ca="1" t="shared" si="56"/>
        <v>34</v>
      </c>
      <c r="F304" s="436">
        <v>1.07</v>
      </c>
      <c r="G304" s="436"/>
      <c r="H304" s="427">
        <f t="shared" si="57"/>
        <v>59732</v>
      </c>
      <c r="I304" s="428">
        <f t="shared" si="55"/>
        <v>0</v>
      </c>
      <c r="J304" s="430"/>
      <c r="K304" s="430"/>
      <c r="L304" s="430"/>
      <c r="M304" s="430"/>
      <c r="N304" s="430"/>
      <c r="O304" s="430"/>
      <c r="P304" s="430"/>
      <c r="Q304" s="430"/>
      <c r="R304" s="430"/>
      <c r="S304" s="430"/>
      <c r="T304" s="430"/>
      <c r="U304" s="430"/>
      <c r="V304" s="430"/>
      <c r="W304" s="430"/>
      <c r="X304" s="430"/>
      <c r="Y304" s="430"/>
      <c r="Z304" s="426">
        <f ca="1" t="shared" si="58"/>
        <v>34.9</v>
      </c>
    </row>
    <row r="305" spans="4:26">
      <c r="D305" s="3">
        <v>68</v>
      </c>
      <c r="E305" s="426">
        <f ca="1" t="shared" si="56"/>
        <v>35</v>
      </c>
      <c r="F305" s="436">
        <v>1.07</v>
      </c>
      <c r="G305" s="436"/>
      <c r="H305" s="427">
        <f t="shared" si="57"/>
        <v>63913</v>
      </c>
      <c r="I305" s="428">
        <f t="shared" si="55"/>
        <v>0</v>
      </c>
      <c r="J305" s="430"/>
      <c r="K305" s="430"/>
      <c r="L305" s="430"/>
      <c r="M305" s="430"/>
      <c r="N305" s="430"/>
      <c r="O305" s="430"/>
      <c r="P305" s="430"/>
      <c r="Q305" s="430"/>
      <c r="R305" s="430"/>
      <c r="S305" s="430"/>
      <c r="T305" s="430"/>
      <c r="U305" s="430"/>
      <c r="V305" s="430"/>
      <c r="W305" s="430"/>
      <c r="X305" s="430"/>
      <c r="Y305" s="430"/>
      <c r="Z305" s="426">
        <f ca="1" t="shared" si="58"/>
        <v>35.9</v>
      </c>
    </row>
    <row r="306" spans="4:26">
      <c r="D306" s="3">
        <v>69</v>
      </c>
      <c r="E306" s="426">
        <f ca="1" t="shared" si="56"/>
        <v>36</v>
      </c>
      <c r="F306" s="436">
        <v>1.07</v>
      </c>
      <c r="G306" s="436"/>
      <c r="H306" s="427">
        <f t="shared" si="57"/>
        <v>68386</v>
      </c>
      <c r="I306" s="428">
        <f t="shared" si="55"/>
        <v>0</v>
      </c>
      <c r="J306" s="430"/>
      <c r="K306" s="430"/>
      <c r="L306" s="430"/>
      <c r="M306" s="430"/>
      <c r="N306" s="430"/>
      <c r="O306" s="430"/>
      <c r="P306" s="430"/>
      <c r="Q306" s="430"/>
      <c r="R306" s="430"/>
      <c r="S306" s="430"/>
      <c r="T306" s="430"/>
      <c r="U306" s="430"/>
      <c r="V306" s="430"/>
      <c r="W306" s="430"/>
      <c r="X306" s="430"/>
      <c r="Y306" s="430"/>
      <c r="Z306" s="426">
        <f ca="1" t="shared" si="58"/>
        <v>36.9</v>
      </c>
    </row>
    <row r="307" spans="4:26">
      <c r="D307" s="3">
        <v>70</v>
      </c>
      <c r="E307" s="426">
        <f ca="1" t="shared" si="56"/>
        <v>37</v>
      </c>
      <c r="F307" s="436">
        <v>1.07</v>
      </c>
      <c r="G307" s="436"/>
      <c r="H307" s="427">
        <f t="shared" si="57"/>
        <v>73173</v>
      </c>
      <c r="I307" s="428">
        <f t="shared" si="55"/>
        <v>0</v>
      </c>
      <c r="J307" s="430"/>
      <c r="K307" s="430"/>
      <c r="L307" s="430"/>
      <c r="M307" s="430"/>
      <c r="N307" s="430"/>
      <c r="O307" s="430"/>
      <c r="P307" s="430"/>
      <c r="Q307" s="430"/>
      <c r="R307" s="430"/>
      <c r="S307" s="430"/>
      <c r="T307" s="430"/>
      <c r="U307" s="430"/>
      <c r="V307" s="430"/>
      <c r="W307" s="430"/>
      <c r="X307" s="430"/>
      <c r="Y307" s="430"/>
      <c r="Z307" s="426">
        <f ca="1" t="shared" si="58"/>
        <v>37.9</v>
      </c>
    </row>
    <row r="308" spans="4:26">
      <c r="D308" s="3">
        <v>71</v>
      </c>
      <c r="E308" s="426">
        <f ca="1" t="shared" si="56"/>
        <v>38</v>
      </c>
      <c r="F308" s="436">
        <v>1.07</v>
      </c>
      <c r="G308" s="436"/>
      <c r="H308" s="427">
        <f t="shared" si="57"/>
        <v>78295</v>
      </c>
      <c r="I308" s="428">
        <f t="shared" si="55"/>
        <v>0</v>
      </c>
      <c r="J308" s="430"/>
      <c r="K308" s="430"/>
      <c r="L308" s="430"/>
      <c r="M308" s="430"/>
      <c r="N308" s="430"/>
      <c r="O308" s="430"/>
      <c r="P308" s="430"/>
      <c r="Q308" s="430"/>
      <c r="R308" s="430"/>
      <c r="S308" s="430"/>
      <c r="T308" s="430"/>
      <c r="U308" s="430"/>
      <c r="V308" s="430"/>
      <c r="W308" s="430"/>
      <c r="X308" s="430"/>
      <c r="Y308" s="430"/>
      <c r="Z308" s="426">
        <f ca="1" t="shared" si="58"/>
        <v>38.9</v>
      </c>
    </row>
    <row r="309" spans="4:26">
      <c r="D309" s="3">
        <v>72</v>
      </c>
      <c r="E309" s="426">
        <f ca="1" t="shared" si="56"/>
        <v>39</v>
      </c>
      <c r="F309" s="436">
        <v>1.07</v>
      </c>
      <c r="G309" s="436"/>
      <c r="H309" s="427">
        <f t="shared" si="57"/>
        <v>83775</v>
      </c>
      <c r="I309" s="428">
        <f t="shared" si="55"/>
        <v>0</v>
      </c>
      <c r="J309" s="430"/>
      <c r="K309" s="430"/>
      <c r="L309" s="430"/>
      <c r="M309" s="430"/>
      <c r="N309" s="430"/>
      <c r="O309" s="430"/>
      <c r="P309" s="430"/>
      <c r="Q309" s="430"/>
      <c r="R309" s="430"/>
      <c r="S309" s="430"/>
      <c r="T309" s="430"/>
      <c r="U309" s="430"/>
      <c r="V309" s="430"/>
      <c r="W309" s="430"/>
      <c r="X309" s="430"/>
      <c r="Y309" s="430"/>
      <c r="Z309" s="426">
        <f ca="1" t="shared" si="58"/>
        <v>39.9</v>
      </c>
    </row>
    <row r="310" spans="4:26">
      <c r="D310" s="3">
        <v>73</v>
      </c>
      <c r="E310" s="426">
        <f ca="1" t="shared" si="56"/>
        <v>40</v>
      </c>
      <c r="F310" s="436">
        <v>1.07</v>
      </c>
      <c r="G310" s="436"/>
      <c r="H310" s="427">
        <f t="shared" si="57"/>
        <v>89639</v>
      </c>
      <c r="I310" s="428">
        <f t="shared" si="55"/>
        <v>0</v>
      </c>
      <c r="J310" s="430"/>
      <c r="K310" s="430"/>
      <c r="L310" s="430"/>
      <c r="M310" s="430"/>
      <c r="N310" s="430"/>
      <c r="O310" s="430"/>
      <c r="P310" s="430"/>
      <c r="Q310" s="430"/>
      <c r="R310" s="430"/>
      <c r="S310" s="430"/>
      <c r="T310" s="430"/>
      <c r="U310" s="430"/>
      <c r="V310" s="430"/>
      <c r="W310" s="430"/>
      <c r="X310" s="430"/>
      <c r="Y310" s="430"/>
      <c r="Z310" s="426">
        <f ca="1" t="shared" si="58"/>
        <v>40.9</v>
      </c>
    </row>
    <row r="311" spans="4:26">
      <c r="D311" s="3">
        <v>74</v>
      </c>
      <c r="E311" s="426">
        <f ca="1" t="shared" si="56"/>
        <v>41</v>
      </c>
      <c r="F311" s="436">
        <v>1.07</v>
      </c>
      <c r="G311" s="436"/>
      <c r="H311" s="427">
        <f t="shared" si="57"/>
        <v>95913</v>
      </c>
      <c r="I311" s="428">
        <f t="shared" si="55"/>
        <v>0</v>
      </c>
      <c r="J311" s="430"/>
      <c r="K311" s="430"/>
      <c r="L311" s="430"/>
      <c r="M311" s="430"/>
      <c r="N311" s="430"/>
      <c r="O311" s="430"/>
      <c r="P311" s="430"/>
      <c r="Q311" s="430"/>
      <c r="R311" s="430"/>
      <c r="S311" s="430"/>
      <c r="T311" s="430"/>
      <c r="U311" s="430"/>
      <c r="V311" s="430"/>
      <c r="W311" s="430"/>
      <c r="X311" s="430"/>
      <c r="Y311" s="430"/>
      <c r="Z311" s="426">
        <f ca="1" t="shared" si="58"/>
        <v>41.9</v>
      </c>
    </row>
    <row r="312" spans="4:26">
      <c r="D312" s="3">
        <v>75</v>
      </c>
      <c r="E312" s="426">
        <f ca="1" t="shared" si="56"/>
        <v>42</v>
      </c>
      <c r="F312" s="436">
        <v>1.07</v>
      </c>
      <c r="G312" s="436"/>
      <c r="H312" s="427">
        <f t="shared" si="57"/>
        <v>102626</v>
      </c>
      <c r="I312" s="428">
        <f t="shared" si="55"/>
        <v>0</v>
      </c>
      <c r="J312" s="430"/>
      <c r="K312" s="430"/>
      <c r="L312" s="430"/>
      <c r="M312" s="430"/>
      <c r="N312" s="430"/>
      <c r="O312" s="430"/>
      <c r="P312" s="430"/>
      <c r="Q312" s="430"/>
      <c r="R312" s="430"/>
      <c r="S312" s="430"/>
      <c r="T312" s="430"/>
      <c r="U312" s="430"/>
      <c r="V312" s="430"/>
      <c r="W312" s="430"/>
      <c r="X312" s="430"/>
      <c r="Y312" s="430"/>
      <c r="Z312" s="426">
        <f ca="1" t="shared" si="58"/>
        <v>42.9</v>
      </c>
    </row>
    <row r="313" spans="4:26">
      <c r="D313" s="3">
        <v>76</v>
      </c>
      <c r="E313" s="426">
        <f ca="1" t="shared" si="56"/>
        <v>43</v>
      </c>
      <c r="F313" s="436">
        <v>1.07</v>
      </c>
      <c r="G313" s="436"/>
      <c r="H313" s="427">
        <f t="shared" si="57"/>
        <v>109809</v>
      </c>
      <c r="I313" s="428">
        <f t="shared" si="55"/>
        <v>0</v>
      </c>
      <c r="J313" s="430"/>
      <c r="K313" s="430"/>
      <c r="L313" s="430"/>
      <c r="M313" s="430"/>
      <c r="N313" s="430"/>
      <c r="O313" s="430"/>
      <c r="P313" s="430"/>
      <c r="Q313" s="430"/>
      <c r="R313" s="430"/>
      <c r="S313" s="430"/>
      <c r="T313" s="430"/>
      <c r="U313" s="430"/>
      <c r="V313" s="430"/>
      <c r="W313" s="430"/>
      <c r="X313" s="430"/>
      <c r="Y313" s="430"/>
      <c r="Z313" s="426">
        <f ca="1" t="shared" si="58"/>
        <v>43.9</v>
      </c>
    </row>
    <row r="314" spans="4:26">
      <c r="D314" s="3">
        <v>77</v>
      </c>
      <c r="E314" s="426">
        <f ca="1" t="shared" si="56"/>
        <v>44</v>
      </c>
      <c r="F314" s="436">
        <v>1.07</v>
      </c>
      <c r="G314" s="436"/>
      <c r="H314" s="427">
        <f t="shared" si="57"/>
        <v>117495</v>
      </c>
      <c r="I314" s="428">
        <f t="shared" si="55"/>
        <v>0</v>
      </c>
      <c r="J314" s="430"/>
      <c r="K314" s="430"/>
      <c r="L314" s="430"/>
      <c r="M314" s="430"/>
      <c r="N314" s="430"/>
      <c r="O314" s="430"/>
      <c r="P314" s="430"/>
      <c r="Q314" s="430"/>
      <c r="R314" s="430"/>
      <c r="S314" s="430"/>
      <c r="T314" s="430"/>
      <c r="U314" s="430"/>
      <c r="V314" s="430"/>
      <c r="W314" s="430"/>
      <c r="X314" s="430"/>
      <c r="Y314" s="430"/>
      <c r="Z314" s="426">
        <f ca="1" t="shared" si="58"/>
        <v>44.9</v>
      </c>
    </row>
    <row r="315" spans="4:26">
      <c r="D315" s="3">
        <v>78</v>
      </c>
      <c r="E315" s="426">
        <f ca="1" t="shared" si="56"/>
        <v>45</v>
      </c>
      <c r="F315" s="436">
        <v>1.07</v>
      </c>
      <c r="G315" s="436"/>
      <c r="H315" s="427">
        <f t="shared" si="57"/>
        <v>125719</v>
      </c>
      <c r="I315" s="428">
        <f t="shared" si="55"/>
        <v>0</v>
      </c>
      <c r="J315" s="430"/>
      <c r="K315" s="430"/>
      <c r="L315" s="430"/>
      <c r="M315" s="430"/>
      <c r="N315" s="430"/>
      <c r="O315" s="430"/>
      <c r="P315" s="430"/>
      <c r="Q315" s="430"/>
      <c r="R315" s="430"/>
      <c r="S315" s="430"/>
      <c r="T315" s="430"/>
      <c r="U315" s="430"/>
      <c r="V315" s="430"/>
      <c r="W315" s="430"/>
      <c r="X315" s="430"/>
      <c r="Y315" s="430"/>
      <c r="Z315" s="426">
        <f ca="1" t="shared" si="58"/>
        <v>45.9</v>
      </c>
    </row>
    <row r="316" spans="4:26">
      <c r="D316" s="3">
        <v>79</v>
      </c>
      <c r="E316" s="426">
        <f ca="1" t="shared" si="56"/>
        <v>46</v>
      </c>
      <c r="F316" s="436">
        <v>1.07</v>
      </c>
      <c r="G316" s="436"/>
      <c r="H316" s="427">
        <f t="shared" si="57"/>
        <v>134519</v>
      </c>
      <c r="I316" s="428">
        <f t="shared" si="55"/>
        <v>0</v>
      </c>
      <c r="J316" s="430"/>
      <c r="K316" s="430"/>
      <c r="L316" s="430"/>
      <c r="M316" s="430"/>
      <c r="N316" s="430"/>
      <c r="O316" s="430"/>
      <c r="P316" s="430"/>
      <c r="Q316" s="430"/>
      <c r="R316" s="430"/>
      <c r="S316" s="430"/>
      <c r="T316" s="430"/>
      <c r="U316" s="430"/>
      <c r="V316" s="430"/>
      <c r="W316" s="430"/>
      <c r="X316" s="430"/>
      <c r="Y316" s="430"/>
      <c r="Z316" s="426">
        <f ca="1" t="shared" si="58"/>
        <v>46.9</v>
      </c>
    </row>
    <row r="317" spans="4:26">
      <c r="D317" s="3">
        <v>80</v>
      </c>
      <c r="E317" s="426">
        <f ca="1" t="shared" si="56"/>
        <v>47</v>
      </c>
      <c r="F317" s="436">
        <v>1.07</v>
      </c>
      <c r="G317" s="436"/>
      <c r="H317" s="427">
        <f t="shared" si="57"/>
        <v>143935</v>
      </c>
      <c r="I317" s="428">
        <f t="shared" si="55"/>
        <v>0</v>
      </c>
      <c r="J317" s="430"/>
      <c r="K317" s="430"/>
      <c r="L317" s="430"/>
      <c r="M317" s="430"/>
      <c r="N317" s="430"/>
      <c r="O317" s="430"/>
      <c r="P317" s="430"/>
      <c r="Q317" s="430"/>
      <c r="R317" s="430"/>
      <c r="S317" s="430"/>
      <c r="T317" s="430"/>
      <c r="U317" s="430"/>
      <c r="V317" s="430"/>
      <c r="W317" s="430"/>
      <c r="X317" s="430"/>
      <c r="Y317" s="430"/>
      <c r="Z317" s="426">
        <f ca="1" t="shared" si="58"/>
        <v>47.9</v>
      </c>
    </row>
    <row r="318" spans="4:26">
      <c r="D318" s="3">
        <v>81</v>
      </c>
      <c r="E318" s="426">
        <f ca="1" t="shared" si="56"/>
        <v>48</v>
      </c>
      <c r="F318" s="436">
        <v>1.07</v>
      </c>
      <c r="G318" s="436"/>
      <c r="H318" s="427">
        <f t="shared" si="57"/>
        <v>154010</v>
      </c>
      <c r="I318" s="428">
        <f t="shared" si="55"/>
        <v>0</v>
      </c>
      <c r="J318" s="430"/>
      <c r="K318" s="430"/>
      <c r="L318" s="430"/>
      <c r="M318" s="430"/>
      <c r="N318" s="430"/>
      <c r="O318" s="430"/>
      <c r="P318" s="430"/>
      <c r="Q318" s="430"/>
      <c r="R318" s="430"/>
      <c r="S318" s="430"/>
      <c r="T318" s="430"/>
      <c r="U318" s="430"/>
      <c r="V318" s="430"/>
      <c r="W318" s="430"/>
      <c r="X318" s="430"/>
      <c r="Y318" s="430"/>
      <c r="Z318" s="426">
        <f ca="1" t="shared" si="58"/>
        <v>48.9</v>
      </c>
    </row>
    <row r="319" spans="4:26">
      <c r="D319" s="3">
        <v>82</v>
      </c>
      <c r="E319" s="426">
        <f ca="1" t="shared" si="56"/>
        <v>50</v>
      </c>
      <c r="F319" s="436">
        <v>1.07</v>
      </c>
      <c r="G319" s="436"/>
      <c r="H319" s="427">
        <f t="shared" si="57"/>
        <v>164790</v>
      </c>
      <c r="I319" s="428">
        <f t="shared" si="55"/>
        <v>0</v>
      </c>
      <c r="J319" s="430"/>
      <c r="K319" s="430"/>
      <c r="L319" s="430"/>
      <c r="M319" s="430"/>
      <c r="N319" s="430"/>
      <c r="O319" s="430"/>
      <c r="P319" s="430"/>
      <c r="Q319" s="430"/>
      <c r="R319" s="430"/>
      <c r="S319" s="430"/>
      <c r="T319" s="430"/>
      <c r="U319" s="430"/>
      <c r="V319" s="430"/>
      <c r="W319" s="430"/>
      <c r="X319" s="430"/>
      <c r="Y319" s="430"/>
      <c r="Z319" s="426">
        <f ca="1" t="shared" si="58"/>
        <v>50.9</v>
      </c>
    </row>
    <row r="320" spans="4:26">
      <c r="D320" s="3">
        <v>83</v>
      </c>
      <c r="E320" s="426">
        <f ca="1" t="shared" si="56"/>
        <v>52</v>
      </c>
      <c r="F320" s="436">
        <v>1.07</v>
      </c>
      <c r="G320" s="436"/>
      <c r="H320" s="427">
        <f t="shared" si="57"/>
        <v>176325</v>
      </c>
      <c r="I320" s="428">
        <f t="shared" si="55"/>
        <v>0</v>
      </c>
      <c r="J320" s="430"/>
      <c r="K320" s="430"/>
      <c r="L320" s="430"/>
      <c r="M320" s="430"/>
      <c r="N320" s="430"/>
      <c r="O320" s="430"/>
      <c r="P320" s="430"/>
      <c r="Q320" s="430"/>
      <c r="R320" s="430"/>
      <c r="S320" s="430"/>
      <c r="T320" s="430"/>
      <c r="U320" s="430"/>
      <c r="V320" s="430"/>
      <c r="W320" s="430"/>
      <c r="X320" s="430"/>
      <c r="Y320" s="430"/>
      <c r="Z320" s="426">
        <f ca="1" t="shared" si="58"/>
        <v>52.9</v>
      </c>
    </row>
    <row r="321" spans="4:26">
      <c r="D321" s="3">
        <v>84</v>
      </c>
      <c r="E321" s="426">
        <f ca="1" t="shared" si="56"/>
        <v>54</v>
      </c>
      <c r="F321" s="436">
        <v>1.07</v>
      </c>
      <c r="G321" s="436"/>
      <c r="H321" s="427">
        <f t="shared" si="57"/>
        <v>188667</v>
      </c>
      <c r="I321" s="428">
        <f t="shared" si="55"/>
        <v>0</v>
      </c>
      <c r="J321" s="430"/>
      <c r="K321" s="430"/>
      <c r="L321" s="430"/>
      <c r="M321" s="430"/>
      <c r="N321" s="430"/>
      <c r="O321" s="430"/>
      <c r="P321" s="430"/>
      <c r="Q321" s="430"/>
      <c r="R321" s="430"/>
      <c r="S321" s="430"/>
      <c r="T321" s="430"/>
      <c r="U321" s="430"/>
      <c r="V321" s="430"/>
      <c r="W321" s="430"/>
      <c r="X321" s="430"/>
      <c r="Y321" s="430"/>
      <c r="Z321" s="426">
        <f ca="1" t="shared" si="58"/>
        <v>54.9</v>
      </c>
    </row>
    <row r="322" spans="4:26">
      <c r="D322" s="3">
        <v>85</v>
      </c>
      <c r="E322" s="426">
        <f ca="1" t="shared" si="56"/>
        <v>56</v>
      </c>
      <c r="F322" s="436">
        <v>1.07</v>
      </c>
      <c r="G322" s="436"/>
      <c r="H322" s="427">
        <f t="shared" si="57"/>
        <v>201873</v>
      </c>
      <c r="I322" s="428">
        <f t="shared" si="55"/>
        <v>0</v>
      </c>
      <c r="J322" s="430"/>
      <c r="K322" s="430"/>
      <c r="L322" s="430"/>
      <c r="M322" s="430"/>
      <c r="N322" s="430"/>
      <c r="O322" s="430"/>
      <c r="P322" s="430"/>
      <c r="Q322" s="430"/>
      <c r="R322" s="430"/>
      <c r="S322" s="430"/>
      <c r="T322" s="430"/>
      <c r="U322" s="430"/>
      <c r="V322" s="430"/>
      <c r="W322" s="430"/>
      <c r="X322" s="430"/>
      <c r="Y322" s="430"/>
      <c r="Z322" s="426">
        <f ca="1" t="shared" si="58"/>
        <v>56.9</v>
      </c>
    </row>
    <row r="323" spans="4:26">
      <c r="D323" s="3">
        <v>86</v>
      </c>
      <c r="E323" s="426">
        <f ca="1" t="shared" si="56"/>
        <v>58</v>
      </c>
      <c r="F323" s="436">
        <v>1.07</v>
      </c>
      <c r="G323" s="436"/>
      <c r="H323" s="427">
        <f t="shared" si="57"/>
        <v>216004</v>
      </c>
      <c r="I323" s="428">
        <f t="shared" si="55"/>
        <v>0</v>
      </c>
      <c r="J323" s="430"/>
      <c r="K323" s="430"/>
      <c r="L323" s="430"/>
      <c r="M323" s="430"/>
      <c r="N323" s="430"/>
      <c r="O323" s="430"/>
      <c r="P323" s="430"/>
      <c r="Q323" s="430"/>
      <c r="R323" s="430"/>
      <c r="S323" s="430"/>
      <c r="T323" s="430"/>
      <c r="U323" s="430"/>
      <c r="V323" s="430"/>
      <c r="W323" s="430"/>
      <c r="X323" s="430"/>
      <c r="Y323" s="430"/>
      <c r="Z323" s="426">
        <f ca="1" t="shared" si="58"/>
        <v>58.9</v>
      </c>
    </row>
    <row r="324" spans="4:26">
      <c r="D324" s="3">
        <v>87</v>
      </c>
      <c r="E324" s="426">
        <f ca="1" t="shared" si="56"/>
        <v>60</v>
      </c>
      <c r="F324" s="436">
        <v>1.07</v>
      </c>
      <c r="G324" s="436"/>
      <c r="H324" s="427">
        <f t="shared" si="57"/>
        <v>231124</v>
      </c>
      <c r="I324" s="428">
        <f t="shared" si="55"/>
        <v>0</v>
      </c>
      <c r="J324" s="430"/>
      <c r="K324" s="430"/>
      <c r="L324" s="430"/>
      <c r="M324" s="430"/>
      <c r="N324" s="430"/>
      <c r="O324" s="430"/>
      <c r="P324" s="430"/>
      <c r="Q324" s="430"/>
      <c r="R324" s="430"/>
      <c r="S324" s="430"/>
      <c r="T324" s="430"/>
      <c r="U324" s="430"/>
      <c r="V324" s="430"/>
      <c r="W324" s="430"/>
      <c r="X324" s="430"/>
      <c r="Y324" s="430"/>
      <c r="Z324" s="426">
        <f ca="1" t="shared" si="58"/>
        <v>60.9</v>
      </c>
    </row>
    <row r="325" spans="4:26">
      <c r="D325" s="3">
        <v>88</v>
      </c>
      <c r="E325" s="426">
        <f ca="1" t="shared" si="56"/>
        <v>62</v>
      </c>
      <c r="F325" s="436">
        <v>1.07</v>
      </c>
      <c r="G325" s="436"/>
      <c r="H325" s="427">
        <f t="shared" si="57"/>
        <v>247302</v>
      </c>
      <c r="I325" s="428">
        <f t="shared" si="55"/>
        <v>0</v>
      </c>
      <c r="J325" s="430"/>
      <c r="K325" s="430"/>
      <c r="L325" s="430"/>
      <c r="M325" s="430"/>
      <c r="N325" s="430"/>
      <c r="O325" s="430"/>
      <c r="P325" s="430"/>
      <c r="Q325" s="430"/>
      <c r="R325" s="430"/>
      <c r="S325" s="430"/>
      <c r="T325" s="430"/>
      <c r="U325" s="430"/>
      <c r="V325" s="430"/>
      <c r="W325" s="430"/>
      <c r="X325" s="430"/>
      <c r="Y325" s="430"/>
      <c r="Z325" s="426">
        <f ca="1" t="shared" si="58"/>
        <v>62.9</v>
      </c>
    </row>
    <row r="326" spans="4:26">
      <c r="D326" s="3">
        <v>89</v>
      </c>
      <c r="E326" s="426">
        <f ca="1" t="shared" si="56"/>
        <v>64</v>
      </c>
      <c r="F326" s="436">
        <v>1.07</v>
      </c>
      <c r="G326" s="436"/>
      <c r="H326" s="427">
        <f t="shared" si="57"/>
        <v>264613</v>
      </c>
      <c r="I326" s="428">
        <f t="shared" si="55"/>
        <v>0</v>
      </c>
      <c r="J326" s="430"/>
      <c r="K326" s="430"/>
      <c r="L326" s="430"/>
      <c r="M326" s="430"/>
      <c r="N326" s="430"/>
      <c r="O326" s="430"/>
      <c r="P326" s="430"/>
      <c r="Q326" s="430"/>
      <c r="R326" s="430"/>
      <c r="S326" s="430"/>
      <c r="T326" s="430"/>
      <c r="U326" s="430"/>
      <c r="V326" s="430"/>
      <c r="W326" s="430"/>
      <c r="X326" s="430"/>
      <c r="Y326" s="430"/>
      <c r="Z326" s="426">
        <f ca="1" t="shared" si="58"/>
        <v>64.9</v>
      </c>
    </row>
    <row r="327" spans="4:26">
      <c r="D327" s="3">
        <v>90</v>
      </c>
      <c r="E327" s="426">
        <f ca="1" t="shared" si="56"/>
        <v>66</v>
      </c>
      <c r="F327" s="436">
        <v>1.07</v>
      </c>
      <c r="G327" s="436"/>
      <c r="H327" s="427">
        <f t="shared" si="57"/>
        <v>283135</v>
      </c>
      <c r="I327" s="428">
        <f t="shared" si="55"/>
        <v>0</v>
      </c>
      <c r="J327" s="430"/>
      <c r="K327" s="430"/>
      <c r="L327" s="430"/>
      <c r="M327" s="430"/>
      <c r="N327" s="430"/>
      <c r="O327" s="430"/>
      <c r="P327" s="430"/>
      <c r="Q327" s="430"/>
      <c r="R327" s="430"/>
      <c r="S327" s="430"/>
      <c r="T327" s="430"/>
      <c r="U327" s="430"/>
      <c r="V327" s="430"/>
      <c r="W327" s="430"/>
      <c r="X327" s="430"/>
      <c r="Y327" s="430"/>
      <c r="Z327" s="426">
        <f ca="1" t="shared" si="58"/>
        <v>66.9</v>
      </c>
    </row>
    <row r="328" spans="4:26">
      <c r="D328" s="3">
        <v>91</v>
      </c>
      <c r="E328" s="426">
        <f ca="1" t="shared" si="56"/>
        <v>68</v>
      </c>
      <c r="F328" s="436">
        <v>1.07</v>
      </c>
      <c r="G328" s="436"/>
      <c r="H328" s="427">
        <f t="shared" si="57"/>
        <v>302954</v>
      </c>
      <c r="I328" s="428">
        <f t="shared" si="55"/>
        <v>0</v>
      </c>
      <c r="J328" s="430"/>
      <c r="K328" s="430"/>
      <c r="L328" s="430"/>
      <c r="M328" s="430"/>
      <c r="N328" s="430"/>
      <c r="O328" s="430"/>
      <c r="P328" s="430"/>
      <c r="Q328" s="430"/>
      <c r="R328" s="430"/>
      <c r="S328" s="430"/>
      <c r="T328" s="430"/>
      <c r="U328" s="430"/>
      <c r="V328" s="430"/>
      <c r="W328" s="430"/>
      <c r="X328" s="430"/>
      <c r="Y328" s="430"/>
      <c r="Z328" s="426">
        <f ca="1" t="shared" si="58"/>
        <v>68.9</v>
      </c>
    </row>
    <row r="329" spans="4:26">
      <c r="D329" s="3">
        <v>92</v>
      </c>
      <c r="E329" s="426">
        <f ca="1" t="shared" si="56"/>
        <v>70</v>
      </c>
      <c r="F329" s="436">
        <v>1.07</v>
      </c>
      <c r="G329" s="436"/>
      <c r="H329" s="427">
        <f t="shared" si="57"/>
        <v>324160</v>
      </c>
      <c r="I329" s="428">
        <f t="shared" si="55"/>
        <v>0</v>
      </c>
      <c r="J329" s="430"/>
      <c r="K329" s="430"/>
      <c r="L329" s="430"/>
      <c r="M329" s="430"/>
      <c r="N329" s="430"/>
      <c r="O329" s="430"/>
      <c r="P329" s="430"/>
      <c r="Q329" s="430"/>
      <c r="R329" s="430"/>
      <c r="S329" s="430"/>
      <c r="T329" s="430"/>
      <c r="U329" s="430"/>
      <c r="V329" s="430"/>
      <c r="W329" s="430"/>
      <c r="X329" s="430"/>
      <c r="Y329" s="430"/>
      <c r="Z329" s="426">
        <f ca="1" t="shared" si="58"/>
        <v>70.9</v>
      </c>
    </row>
    <row r="330" spans="4:26">
      <c r="D330" s="3">
        <v>93</v>
      </c>
      <c r="E330" s="426">
        <f ca="1" t="shared" si="56"/>
        <v>72</v>
      </c>
      <c r="F330" s="436">
        <v>1.07</v>
      </c>
      <c r="G330" s="436"/>
      <c r="H330" s="427">
        <f t="shared" si="57"/>
        <v>346851</v>
      </c>
      <c r="I330" s="428">
        <f t="shared" si="55"/>
        <v>0</v>
      </c>
      <c r="J330" s="430"/>
      <c r="K330" s="430"/>
      <c r="L330" s="430"/>
      <c r="M330" s="430"/>
      <c r="N330" s="430"/>
      <c r="O330" s="430"/>
      <c r="P330" s="430"/>
      <c r="Q330" s="430"/>
      <c r="R330" s="430"/>
      <c r="S330" s="430"/>
      <c r="T330" s="430"/>
      <c r="U330" s="430"/>
      <c r="V330" s="430"/>
      <c r="W330" s="430"/>
      <c r="X330" s="430"/>
      <c r="Y330" s="430"/>
      <c r="Z330" s="426">
        <f ca="1" t="shared" si="58"/>
        <v>72.9</v>
      </c>
    </row>
    <row r="331" spans="4:26">
      <c r="D331" s="3">
        <v>94</v>
      </c>
      <c r="E331" s="426">
        <f ca="1" t="shared" si="56"/>
        <v>74</v>
      </c>
      <c r="F331" s="436">
        <v>1.07</v>
      </c>
      <c r="G331" s="436"/>
      <c r="H331" s="427">
        <f t="shared" si="57"/>
        <v>371130</v>
      </c>
      <c r="I331" s="428">
        <f t="shared" si="55"/>
        <v>0</v>
      </c>
      <c r="J331" s="430"/>
      <c r="K331" s="430"/>
      <c r="L331" s="430"/>
      <c r="M331" s="430"/>
      <c r="N331" s="430"/>
      <c r="O331" s="430"/>
      <c r="P331" s="430"/>
      <c r="Q331" s="430"/>
      <c r="R331" s="430"/>
      <c r="S331" s="430"/>
      <c r="T331" s="430"/>
      <c r="U331" s="430"/>
      <c r="V331" s="430"/>
      <c r="W331" s="430"/>
      <c r="X331" s="430"/>
      <c r="Y331" s="430"/>
      <c r="Z331" s="426">
        <f ca="1" t="shared" si="58"/>
        <v>74.9</v>
      </c>
    </row>
    <row r="332" spans="4:26">
      <c r="D332" s="3">
        <v>95</v>
      </c>
      <c r="E332" s="426">
        <f ca="1" t="shared" si="56"/>
        <v>76</v>
      </c>
      <c r="F332" s="436">
        <v>1.07</v>
      </c>
      <c r="G332" s="436"/>
      <c r="H332" s="427">
        <f t="shared" si="57"/>
        <v>397109</v>
      </c>
      <c r="I332" s="428">
        <f t="shared" si="55"/>
        <v>0</v>
      </c>
      <c r="J332" s="430"/>
      <c r="K332" s="430"/>
      <c r="L332" s="430"/>
      <c r="M332" s="430"/>
      <c r="N332" s="430"/>
      <c r="O332" s="430"/>
      <c r="P332" s="430"/>
      <c r="Q332" s="430"/>
      <c r="R332" s="430"/>
      <c r="S332" s="430"/>
      <c r="T332" s="430"/>
      <c r="U332" s="430"/>
      <c r="V332" s="430"/>
      <c r="W332" s="430"/>
      <c r="X332" s="430"/>
      <c r="Y332" s="430"/>
      <c r="Z332" s="426">
        <f ca="1" t="shared" si="58"/>
        <v>76.9</v>
      </c>
    </row>
    <row r="333" spans="4:26">
      <c r="D333" s="3">
        <v>96</v>
      </c>
      <c r="E333" s="426">
        <f ca="1" t="shared" si="56"/>
        <v>78</v>
      </c>
      <c r="F333" s="436">
        <v>1.07</v>
      </c>
      <c r="G333" s="436"/>
      <c r="H333" s="427">
        <f t="shared" si="57"/>
        <v>424906</v>
      </c>
      <c r="I333" s="428">
        <f t="shared" si="55"/>
        <v>0</v>
      </c>
      <c r="J333" s="430"/>
      <c r="K333" s="430"/>
      <c r="L333" s="430"/>
      <c r="M333" s="430"/>
      <c r="N333" s="430"/>
      <c r="O333" s="430"/>
      <c r="P333" s="430"/>
      <c r="Q333" s="430"/>
      <c r="R333" s="430"/>
      <c r="S333" s="430"/>
      <c r="T333" s="430"/>
      <c r="U333" s="430"/>
      <c r="V333" s="430"/>
      <c r="W333" s="430"/>
      <c r="X333" s="430"/>
      <c r="Y333" s="430"/>
      <c r="Z333" s="426">
        <f ca="1" t="shared" si="58"/>
        <v>78.9</v>
      </c>
    </row>
    <row r="334" spans="4:26">
      <c r="D334" s="3">
        <v>97</v>
      </c>
      <c r="E334" s="426">
        <f ca="1" t="shared" si="56"/>
        <v>80</v>
      </c>
      <c r="F334" s="436">
        <v>1.07</v>
      </c>
      <c r="G334" s="436"/>
      <c r="H334" s="427">
        <f t="shared" si="57"/>
        <v>454649</v>
      </c>
      <c r="I334" s="428">
        <f t="shared" si="55"/>
        <v>0</v>
      </c>
      <c r="J334" s="430"/>
      <c r="K334" s="430"/>
      <c r="L334" s="430"/>
      <c r="M334" s="430"/>
      <c r="N334" s="430"/>
      <c r="O334" s="430"/>
      <c r="P334" s="430"/>
      <c r="Q334" s="430"/>
      <c r="R334" s="430"/>
      <c r="S334" s="430"/>
      <c r="T334" s="430"/>
      <c r="U334" s="430"/>
      <c r="V334" s="430"/>
      <c r="W334" s="430"/>
      <c r="X334" s="430"/>
      <c r="Y334" s="430"/>
      <c r="Z334" s="426">
        <f ca="1" t="shared" si="58"/>
        <v>80.9</v>
      </c>
    </row>
    <row r="335" spans="4:26">
      <c r="D335" s="3">
        <v>98</v>
      </c>
      <c r="E335" s="426">
        <f ca="1" t="shared" si="56"/>
        <v>82</v>
      </c>
      <c r="F335" s="436">
        <v>1.07</v>
      </c>
      <c r="G335" s="436"/>
      <c r="H335" s="427">
        <f t="shared" si="57"/>
        <v>486474</v>
      </c>
      <c r="I335" s="428">
        <f t="shared" si="55"/>
        <v>0</v>
      </c>
      <c r="J335" s="430"/>
      <c r="K335" s="430"/>
      <c r="L335" s="430"/>
      <c r="M335" s="430"/>
      <c r="N335" s="430"/>
      <c r="O335" s="430"/>
      <c r="P335" s="430"/>
      <c r="Q335" s="430"/>
      <c r="R335" s="430"/>
      <c r="S335" s="430"/>
      <c r="T335" s="430"/>
      <c r="U335" s="430"/>
      <c r="V335" s="430"/>
      <c r="W335" s="430"/>
      <c r="X335" s="430"/>
      <c r="Y335" s="430"/>
      <c r="Z335" s="426">
        <f ca="1" t="shared" si="58"/>
        <v>82.9</v>
      </c>
    </row>
    <row r="336" spans="4:26">
      <c r="D336" s="3">
        <v>99</v>
      </c>
      <c r="E336" s="426">
        <f ca="1" t="shared" si="56"/>
        <v>84</v>
      </c>
      <c r="F336" s="436">
        <v>1.07</v>
      </c>
      <c r="G336" s="436"/>
      <c r="H336" s="427">
        <f t="shared" si="57"/>
        <v>520527</v>
      </c>
      <c r="I336" s="428">
        <f t="shared" si="55"/>
        <v>0</v>
      </c>
      <c r="J336" s="430"/>
      <c r="K336" s="430"/>
      <c r="L336" s="430"/>
      <c r="M336" s="430"/>
      <c r="N336" s="430"/>
      <c r="O336" s="430"/>
      <c r="P336" s="430"/>
      <c r="Q336" s="430"/>
      <c r="R336" s="430"/>
      <c r="S336" s="430"/>
      <c r="T336" s="430"/>
      <c r="U336" s="430"/>
      <c r="V336" s="430"/>
      <c r="W336" s="430"/>
      <c r="X336" s="430"/>
      <c r="Y336" s="430"/>
      <c r="Z336" s="426">
        <f ca="1" t="shared" si="58"/>
        <v>84.9</v>
      </c>
    </row>
    <row r="337" spans="4:26">
      <c r="D337" s="3">
        <v>100</v>
      </c>
      <c r="E337" s="426">
        <f ca="1" t="shared" si="56"/>
        <v>86</v>
      </c>
      <c r="F337" s="436">
        <v>1.07</v>
      </c>
      <c r="G337" s="436"/>
      <c r="H337" s="427">
        <f t="shared" si="57"/>
        <v>556963</v>
      </c>
      <c r="I337" s="428">
        <f t="shared" si="55"/>
        <v>0</v>
      </c>
      <c r="J337" s="430"/>
      <c r="K337" s="430"/>
      <c r="L337" s="430"/>
      <c r="M337" s="430"/>
      <c r="N337" s="430"/>
      <c r="O337" s="430"/>
      <c r="P337" s="430"/>
      <c r="Q337" s="430"/>
      <c r="R337" s="430"/>
      <c r="S337" s="430"/>
      <c r="T337" s="430"/>
      <c r="U337" s="430"/>
      <c r="V337" s="430"/>
      <c r="W337" s="430"/>
      <c r="X337" s="430"/>
      <c r="Y337" s="430"/>
      <c r="Z337" s="426">
        <f ca="1" t="shared" si="58"/>
        <v>86.9</v>
      </c>
    </row>
    <row r="338" spans="4:26">
      <c r="D338" s="3">
        <v>101</v>
      </c>
      <c r="E338" s="426">
        <f ca="1" t="shared" si="56"/>
        <v>88</v>
      </c>
      <c r="F338" s="436">
        <v>1.07</v>
      </c>
      <c r="G338" s="436"/>
      <c r="H338" s="427">
        <f t="shared" si="57"/>
        <v>595950</v>
      </c>
      <c r="I338" s="428">
        <f t="shared" si="55"/>
        <v>0</v>
      </c>
      <c r="J338" s="430"/>
      <c r="K338" s="430"/>
      <c r="L338" s="430"/>
      <c r="M338" s="430"/>
      <c r="N338" s="430"/>
      <c r="O338" s="430"/>
      <c r="P338" s="430"/>
      <c r="Q338" s="430"/>
      <c r="R338" s="430"/>
      <c r="S338" s="430"/>
      <c r="T338" s="430"/>
      <c r="U338" s="430"/>
      <c r="V338" s="430"/>
      <c r="W338" s="430"/>
      <c r="X338" s="430"/>
      <c r="Y338" s="430"/>
      <c r="Z338" s="426">
        <f ca="1" t="shared" si="58"/>
        <v>88.9</v>
      </c>
    </row>
    <row r="339" spans="4:26">
      <c r="D339" s="3">
        <v>102</v>
      </c>
      <c r="E339" s="426">
        <f ca="1" t="shared" si="56"/>
        <v>90</v>
      </c>
      <c r="F339" s="436">
        <v>1.07</v>
      </c>
      <c r="G339" s="436"/>
      <c r="H339" s="427">
        <f t="shared" si="57"/>
        <v>637666</v>
      </c>
      <c r="I339" s="428">
        <f t="shared" si="55"/>
        <v>0</v>
      </c>
      <c r="J339" s="430"/>
      <c r="K339" s="430"/>
      <c r="L339" s="430"/>
      <c r="M339" s="430"/>
      <c r="N339" s="430"/>
      <c r="O339" s="430"/>
      <c r="P339" s="430"/>
      <c r="Q339" s="430"/>
      <c r="R339" s="430"/>
      <c r="S339" s="430"/>
      <c r="T339" s="430"/>
      <c r="U339" s="430"/>
      <c r="V339" s="430"/>
      <c r="W339" s="430"/>
      <c r="X339" s="430"/>
      <c r="Y339" s="430"/>
      <c r="Z339" s="426">
        <f ca="1" t="shared" si="58"/>
        <v>90.9</v>
      </c>
    </row>
    <row r="340" spans="4:26">
      <c r="D340" s="3">
        <v>103</v>
      </c>
      <c r="E340" s="426">
        <f ca="1" t="shared" si="56"/>
        <v>92</v>
      </c>
      <c r="F340" s="436">
        <v>1.07</v>
      </c>
      <c r="G340" s="436"/>
      <c r="H340" s="427">
        <f t="shared" si="57"/>
        <v>682302</v>
      </c>
      <c r="I340" s="428">
        <f t="shared" si="55"/>
        <v>0</v>
      </c>
      <c r="J340" s="430"/>
      <c r="K340" s="430"/>
      <c r="L340" s="430"/>
      <c r="M340" s="430"/>
      <c r="N340" s="430"/>
      <c r="O340" s="430"/>
      <c r="P340" s="430"/>
      <c r="Q340" s="430"/>
      <c r="R340" s="430"/>
      <c r="S340" s="430"/>
      <c r="T340" s="430"/>
      <c r="U340" s="430"/>
      <c r="V340" s="430"/>
      <c r="W340" s="430"/>
      <c r="X340" s="430"/>
      <c r="Y340" s="430"/>
      <c r="Z340" s="426">
        <f ca="1" t="shared" si="58"/>
        <v>92.9</v>
      </c>
    </row>
    <row r="341" spans="4:26">
      <c r="D341" s="3">
        <v>104</v>
      </c>
      <c r="E341" s="426">
        <f ca="1" t="shared" si="56"/>
        <v>94</v>
      </c>
      <c r="F341" s="436">
        <v>1.07</v>
      </c>
      <c r="G341" s="436"/>
      <c r="H341" s="427">
        <f t="shared" si="57"/>
        <v>730063</v>
      </c>
      <c r="I341" s="428">
        <f t="shared" si="55"/>
        <v>0</v>
      </c>
      <c r="J341" s="430"/>
      <c r="K341" s="430"/>
      <c r="L341" s="430"/>
      <c r="M341" s="430"/>
      <c r="N341" s="430"/>
      <c r="O341" s="430"/>
      <c r="P341" s="430"/>
      <c r="Q341" s="430"/>
      <c r="R341" s="430"/>
      <c r="S341" s="430"/>
      <c r="T341" s="430"/>
      <c r="U341" s="430"/>
      <c r="V341" s="430"/>
      <c r="W341" s="430"/>
      <c r="X341" s="430"/>
      <c r="Y341" s="430"/>
      <c r="Z341" s="426">
        <f ca="1" t="shared" si="58"/>
        <v>94.9</v>
      </c>
    </row>
    <row r="342" spans="4:26">
      <c r="D342" s="3">
        <v>105</v>
      </c>
      <c r="E342" s="426">
        <f ca="1" t="shared" si="56"/>
        <v>96</v>
      </c>
      <c r="F342" s="436">
        <v>1.07</v>
      </c>
      <c r="G342" s="436"/>
      <c r="H342" s="427">
        <f t="shared" si="57"/>
        <v>781167</v>
      </c>
      <c r="I342" s="428">
        <f t="shared" si="55"/>
        <v>0</v>
      </c>
      <c r="J342" s="430"/>
      <c r="K342" s="430"/>
      <c r="L342" s="430"/>
      <c r="M342" s="430"/>
      <c r="N342" s="430"/>
      <c r="O342" s="430"/>
      <c r="P342" s="430"/>
      <c r="Q342" s="430"/>
      <c r="R342" s="430"/>
      <c r="S342" s="430"/>
      <c r="T342" s="430"/>
      <c r="U342" s="430"/>
      <c r="V342" s="430"/>
      <c r="W342" s="430"/>
      <c r="X342" s="430"/>
      <c r="Y342" s="430"/>
      <c r="Z342" s="426">
        <f ca="1" t="shared" si="58"/>
        <v>96.9</v>
      </c>
    </row>
    <row r="343" spans="4:26">
      <c r="D343" s="3">
        <v>106</v>
      </c>
      <c r="E343" s="426">
        <f ca="1" t="shared" si="56"/>
        <v>98</v>
      </c>
      <c r="F343" s="436">
        <v>1.07</v>
      </c>
      <c r="G343" s="436"/>
      <c r="H343" s="427">
        <f t="shared" si="57"/>
        <v>835848</v>
      </c>
      <c r="I343" s="428">
        <f t="shared" si="55"/>
        <v>0</v>
      </c>
      <c r="J343" s="430"/>
      <c r="K343" s="430"/>
      <c r="L343" s="430"/>
      <c r="M343" s="430"/>
      <c r="N343" s="430"/>
      <c r="O343" s="430"/>
      <c r="P343" s="430"/>
      <c r="Q343" s="430"/>
      <c r="R343" s="430"/>
      <c r="S343" s="430"/>
      <c r="T343" s="430"/>
      <c r="U343" s="430"/>
      <c r="V343" s="430"/>
      <c r="W343" s="430"/>
      <c r="X343" s="430"/>
      <c r="Y343" s="430"/>
      <c r="Z343" s="426">
        <f ca="1" t="shared" si="58"/>
        <v>98.9</v>
      </c>
    </row>
    <row r="344" spans="4:26">
      <c r="D344" s="3">
        <v>107</v>
      </c>
      <c r="E344" s="426">
        <f ca="1" t="shared" si="56"/>
        <v>100</v>
      </c>
      <c r="F344" s="436">
        <v>1.07</v>
      </c>
      <c r="G344" s="436"/>
      <c r="H344" s="427">
        <f t="shared" si="57"/>
        <v>894357</v>
      </c>
      <c r="I344" s="428">
        <f t="shared" si="55"/>
        <v>0</v>
      </c>
      <c r="J344" s="430"/>
      <c r="K344" s="430"/>
      <c r="L344" s="430"/>
      <c r="M344" s="430"/>
      <c r="N344" s="430"/>
      <c r="O344" s="430"/>
      <c r="P344" s="430"/>
      <c r="Q344" s="430"/>
      <c r="R344" s="430"/>
      <c r="S344" s="430"/>
      <c r="T344" s="430"/>
      <c r="U344" s="430"/>
      <c r="V344" s="430"/>
      <c r="W344" s="430"/>
      <c r="X344" s="430"/>
      <c r="Y344" s="430"/>
      <c r="Z344" s="426">
        <f ca="1" t="shared" si="58"/>
        <v>100.9</v>
      </c>
    </row>
    <row r="345" spans="4:26">
      <c r="D345" s="3">
        <v>108</v>
      </c>
      <c r="E345" s="426">
        <f ca="1" t="shared" si="56"/>
        <v>102</v>
      </c>
      <c r="F345" s="436">
        <v>1.07</v>
      </c>
      <c r="G345" s="436"/>
      <c r="H345" s="427">
        <f t="shared" si="57"/>
        <v>956961</v>
      </c>
      <c r="I345" s="428">
        <f t="shared" si="55"/>
        <v>0</v>
      </c>
      <c r="J345" s="430"/>
      <c r="K345" s="430"/>
      <c r="L345" s="430"/>
      <c r="M345" s="430"/>
      <c r="N345" s="430"/>
      <c r="O345" s="430"/>
      <c r="P345" s="430"/>
      <c r="Q345" s="430"/>
      <c r="R345" s="430"/>
      <c r="S345" s="430"/>
      <c r="T345" s="430"/>
      <c r="U345" s="430"/>
      <c r="V345" s="430"/>
      <c r="W345" s="430"/>
      <c r="X345" s="430"/>
      <c r="Y345" s="430"/>
      <c r="Z345" s="426">
        <f ca="1" t="shared" si="58"/>
        <v>102.9</v>
      </c>
    </row>
    <row r="346" spans="4:26">
      <c r="D346" s="3">
        <v>109</v>
      </c>
      <c r="E346" s="426">
        <f ca="1" t="shared" si="56"/>
        <v>104</v>
      </c>
      <c r="F346" s="436">
        <v>1.07</v>
      </c>
      <c r="G346" s="436"/>
      <c r="H346" s="427">
        <f t="shared" si="57"/>
        <v>1023948</v>
      </c>
      <c r="I346" s="428">
        <f t="shared" si="55"/>
        <v>0</v>
      </c>
      <c r="J346" s="430"/>
      <c r="K346" s="430"/>
      <c r="L346" s="430"/>
      <c r="M346" s="430"/>
      <c r="N346" s="430"/>
      <c r="O346" s="430"/>
      <c r="P346" s="430"/>
      <c r="Q346" s="430"/>
      <c r="R346" s="430"/>
      <c r="S346" s="430"/>
      <c r="T346" s="430"/>
      <c r="U346" s="430"/>
      <c r="V346" s="430"/>
      <c r="W346" s="430"/>
      <c r="X346" s="430"/>
      <c r="Y346" s="430"/>
      <c r="Z346" s="426">
        <f ca="1" t="shared" si="58"/>
        <v>104.9</v>
      </c>
    </row>
    <row r="347" spans="4:26">
      <c r="D347" s="3">
        <v>110</v>
      </c>
      <c r="E347" s="426">
        <f ca="1" t="shared" si="56"/>
        <v>106</v>
      </c>
      <c r="F347" s="436">
        <v>1.07</v>
      </c>
      <c r="G347" s="436"/>
      <c r="H347" s="427">
        <f t="shared" si="57"/>
        <v>1095624</v>
      </c>
      <c r="I347" s="428">
        <f t="shared" si="55"/>
        <v>0</v>
      </c>
      <c r="J347" s="430"/>
      <c r="K347" s="430"/>
      <c r="L347" s="430"/>
      <c r="M347" s="430"/>
      <c r="N347" s="430"/>
      <c r="O347" s="430"/>
      <c r="P347" s="430"/>
      <c r="Q347" s="430"/>
      <c r="R347" s="430"/>
      <c r="S347" s="430"/>
      <c r="T347" s="430"/>
      <c r="U347" s="430"/>
      <c r="V347" s="430"/>
      <c r="W347" s="430"/>
      <c r="X347" s="430"/>
      <c r="Y347" s="430"/>
      <c r="Z347" s="426">
        <f ca="1" t="shared" si="58"/>
        <v>106.9</v>
      </c>
    </row>
    <row r="348" spans="4:26">
      <c r="D348" s="3">
        <v>111</v>
      </c>
      <c r="E348" s="426">
        <f ca="1" t="shared" si="56"/>
        <v>108</v>
      </c>
      <c r="F348" s="436">
        <v>1.07</v>
      </c>
      <c r="G348" s="436"/>
      <c r="H348" s="427">
        <f t="shared" si="57"/>
        <v>1172317</v>
      </c>
      <c r="I348" s="428">
        <f t="shared" si="55"/>
        <v>0</v>
      </c>
      <c r="J348" s="430"/>
      <c r="K348" s="430"/>
      <c r="L348" s="430"/>
      <c r="M348" s="430"/>
      <c r="N348" s="430"/>
      <c r="O348" s="430"/>
      <c r="P348" s="430"/>
      <c r="Q348" s="430"/>
      <c r="R348" s="430"/>
      <c r="S348" s="430"/>
      <c r="T348" s="430"/>
      <c r="U348" s="430"/>
      <c r="V348" s="430"/>
      <c r="W348" s="430"/>
      <c r="X348" s="430"/>
      <c r="Y348" s="430"/>
      <c r="Z348" s="426">
        <f ca="1" t="shared" si="58"/>
        <v>108.9</v>
      </c>
    </row>
    <row r="349" spans="4:26">
      <c r="D349" s="3">
        <v>112</v>
      </c>
      <c r="E349" s="426">
        <f ca="1" t="shared" si="56"/>
        <v>110</v>
      </c>
      <c r="F349" s="436">
        <v>1.07</v>
      </c>
      <c r="G349" s="436"/>
      <c r="H349" s="427">
        <f t="shared" si="57"/>
        <v>1254379</v>
      </c>
      <c r="I349" s="428">
        <f t="shared" si="55"/>
        <v>0</v>
      </c>
      <c r="J349" s="430"/>
      <c r="K349" s="430"/>
      <c r="L349" s="430"/>
      <c r="M349" s="430"/>
      <c r="N349" s="430"/>
      <c r="O349" s="430"/>
      <c r="P349" s="430"/>
      <c r="Q349" s="430"/>
      <c r="R349" s="430"/>
      <c r="S349" s="430"/>
      <c r="T349" s="430"/>
      <c r="U349" s="430"/>
      <c r="V349" s="430"/>
      <c r="W349" s="430"/>
      <c r="X349" s="430"/>
      <c r="Y349" s="430"/>
      <c r="Z349" s="426">
        <f ca="1" t="shared" si="58"/>
        <v>110.9</v>
      </c>
    </row>
    <row r="350" spans="4:26">
      <c r="D350" s="3">
        <v>113</v>
      </c>
      <c r="E350" s="426">
        <f ca="1" t="shared" si="56"/>
        <v>112</v>
      </c>
      <c r="F350" s="436">
        <v>1.07</v>
      </c>
      <c r="G350" s="436"/>
      <c r="H350" s="427">
        <f t="shared" si="57"/>
        <v>1342185</v>
      </c>
      <c r="I350" s="428">
        <f t="shared" si="55"/>
        <v>0</v>
      </c>
      <c r="J350" s="430"/>
      <c r="K350" s="430"/>
      <c r="L350" s="430"/>
      <c r="M350" s="430"/>
      <c r="N350" s="430"/>
      <c r="O350" s="430"/>
      <c r="P350" s="430"/>
      <c r="Q350" s="430"/>
      <c r="R350" s="430"/>
      <c r="S350" s="430"/>
      <c r="T350" s="430"/>
      <c r="U350" s="430"/>
      <c r="V350" s="430"/>
      <c r="W350" s="430"/>
      <c r="X350" s="430"/>
      <c r="Y350" s="430"/>
      <c r="Z350" s="426">
        <f ca="1" t="shared" si="58"/>
        <v>112.9</v>
      </c>
    </row>
    <row r="351" spans="4:26">
      <c r="D351" s="3">
        <v>114</v>
      </c>
      <c r="E351" s="426">
        <f ca="1" t="shared" si="56"/>
        <v>114</v>
      </c>
      <c r="F351" s="436">
        <v>1.07</v>
      </c>
      <c r="G351" s="436"/>
      <c r="H351" s="427">
        <f t="shared" si="57"/>
        <v>1436137</v>
      </c>
      <c r="I351" s="428">
        <f t="shared" si="55"/>
        <v>0</v>
      </c>
      <c r="J351" s="430"/>
      <c r="K351" s="430"/>
      <c r="L351" s="430"/>
      <c r="M351" s="430"/>
      <c r="N351" s="430"/>
      <c r="O351" s="430"/>
      <c r="P351" s="430"/>
      <c r="Q351" s="430"/>
      <c r="R351" s="430"/>
      <c r="S351" s="430"/>
      <c r="T351" s="430"/>
      <c r="U351" s="430"/>
      <c r="V351" s="430"/>
      <c r="W351" s="430"/>
      <c r="X351" s="430"/>
      <c r="Y351" s="430"/>
      <c r="Z351" s="426">
        <f ca="1" t="shared" si="58"/>
        <v>114.9</v>
      </c>
    </row>
    <row r="352" spans="4:26">
      <c r="D352" s="3">
        <v>115</v>
      </c>
      <c r="E352" s="426">
        <f ca="1" t="shared" si="56"/>
        <v>116</v>
      </c>
      <c r="F352" s="436">
        <v>1.07</v>
      </c>
      <c r="G352" s="436"/>
      <c r="H352" s="427">
        <f t="shared" si="57"/>
        <v>1536666</v>
      </c>
      <c r="I352" s="428">
        <f t="shared" si="55"/>
        <v>0</v>
      </c>
      <c r="J352" s="430"/>
      <c r="K352" s="430"/>
      <c r="L352" s="430"/>
      <c r="M352" s="430"/>
      <c r="N352" s="430"/>
      <c r="O352" s="430"/>
      <c r="P352" s="430"/>
      <c r="Q352" s="430"/>
      <c r="R352" s="430"/>
      <c r="S352" s="430"/>
      <c r="T352" s="430"/>
      <c r="U352" s="430"/>
      <c r="V352" s="430"/>
      <c r="W352" s="430"/>
      <c r="X352" s="430"/>
      <c r="Y352" s="430"/>
      <c r="Z352" s="426">
        <f ca="1" t="shared" si="58"/>
        <v>116.9</v>
      </c>
    </row>
    <row r="353" spans="4:26">
      <c r="D353" s="3">
        <v>116</v>
      </c>
      <c r="E353" s="426">
        <f ca="1" t="shared" si="56"/>
        <v>118</v>
      </c>
      <c r="F353" s="436">
        <v>1.07</v>
      </c>
      <c r="G353" s="436"/>
      <c r="H353" s="427">
        <f t="shared" si="57"/>
        <v>1644232</v>
      </c>
      <c r="I353" s="428">
        <f t="shared" si="55"/>
        <v>0</v>
      </c>
      <c r="J353" s="430"/>
      <c r="K353" s="430"/>
      <c r="L353" s="430"/>
      <c r="M353" s="430"/>
      <c r="N353" s="430"/>
      <c r="O353" s="430"/>
      <c r="P353" s="430"/>
      <c r="Q353" s="430"/>
      <c r="R353" s="430"/>
      <c r="S353" s="430"/>
      <c r="T353" s="430"/>
      <c r="U353" s="430"/>
      <c r="V353" s="430"/>
      <c r="W353" s="430"/>
      <c r="X353" s="430"/>
      <c r="Y353" s="430"/>
      <c r="Z353" s="426">
        <f ca="1" t="shared" si="58"/>
        <v>118.9</v>
      </c>
    </row>
    <row r="354" spans="4:26">
      <c r="D354" s="3">
        <v>117</v>
      </c>
      <c r="E354" s="426">
        <f ca="1" t="shared" si="56"/>
        <v>120</v>
      </c>
      <c r="F354" s="436">
        <v>1.07</v>
      </c>
      <c r="G354" s="436"/>
      <c r="H354" s="427">
        <f t="shared" si="57"/>
        <v>1759328</v>
      </c>
      <c r="I354" s="428">
        <f t="shared" si="55"/>
        <v>0</v>
      </c>
      <c r="J354" s="430"/>
      <c r="K354" s="430"/>
      <c r="L354" s="430"/>
      <c r="M354" s="430"/>
      <c r="N354" s="430"/>
      <c r="O354" s="430"/>
      <c r="P354" s="430"/>
      <c r="Q354" s="430"/>
      <c r="R354" s="430"/>
      <c r="S354" s="430"/>
      <c r="T354" s="430"/>
      <c r="U354" s="430"/>
      <c r="V354" s="430"/>
      <c r="W354" s="430"/>
      <c r="X354" s="430"/>
      <c r="Y354" s="430"/>
      <c r="Z354" s="426">
        <f ca="1" t="shared" si="58"/>
        <v>120.9</v>
      </c>
    </row>
    <row r="355" spans="4:26">
      <c r="D355" s="3">
        <v>118</v>
      </c>
      <c r="E355" s="426">
        <f ca="1" t="shared" si="56"/>
        <v>122</v>
      </c>
      <c r="F355" s="436">
        <v>1.07</v>
      </c>
      <c r="G355" s="436"/>
      <c r="H355" s="427">
        <f t="shared" si="57"/>
        <v>1882480</v>
      </c>
      <c r="I355" s="428">
        <f t="shared" si="55"/>
        <v>0</v>
      </c>
      <c r="J355" s="430"/>
      <c r="K355" s="430"/>
      <c r="L355" s="430"/>
      <c r="M355" s="430"/>
      <c r="N355" s="430"/>
      <c r="O355" s="430"/>
      <c r="P355" s="430"/>
      <c r="Q355" s="430"/>
      <c r="R355" s="430"/>
      <c r="S355" s="430"/>
      <c r="T355" s="430"/>
      <c r="U355" s="430"/>
      <c r="V355" s="430"/>
      <c r="W355" s="430"/>
      <c r="X355" s="430"/>
      <c r="Y355" s="430"/>
      <c r="Z355" s="426">
        <f ca="1" t="shared" si="58"/>
        <v>122.9</v>
      </c>
    </row>
    <row r="356" spans="4:26">
      <c r="D356" s="3">
        <v>119</v>
      </c>
      <c r="E356" s="426">
        <f ca="1" t="shared" si="56"/>
        <v>124</v>
      </c>
      <c r="F356" s="436">
        <v>1.07</v>
      </c>
      <c r="G356" s="436"/>
      <c r="H356" s="427">
        <f t="shared" si="57"/>
        <v>2014253</v>
      </c>
      <c r="I356" s="428">
        <f t="shared" si="55"/>
        <v>0</v>
      </c>
      <c r="J356" s="430"/>
      <c r="K356" s="430"/>
      <c r="L356" s="430"/>
      <c r="M356" s="430"/>
      <c r="N356" s="430"/>
      <c r="O356" s="430"/>
      <c r="P356" s="430"/>
      <c r="Q356" s="430"/>
      <c r="R356" s="430"/>
      <c r="S356" s="430"/>
      <c r="T356" s="430"/>
      <c r="U356" s="430"/>
      <c r="V356" s="430"/>
      <c r="W356" s="430"/>
      <c r="X356" s="430"/>
      <c r="Y356" s="430"/>
      <c r="Z356" s="426">
        <f ca="1" t="shared" si="58"/>
        <v>124.9</v>
      </c>
    </row>
    <row r="357" spans="4:26">
      <c r="D357" s="3">
        <v>120</v>
      </c>
      <c r="E357" s="426">
        <f ca="1" t="shared" si="56"/>
        <v>126</v>
      </c>
      <c r="F357" s="436">
        <v>1.07</v>
      </c>
      <c r="G357" s="436"/>
      <c r="H357" s="427">
        <f t="shared" si="57"/>
        <v>2155250</v>
      </c>
      <c r="I357" s="428">
        <f t="shared" si="55"/>
        <v>0</v>
      </c>
      <c r="J357" s="430"/>
      <c r="K357" s="430"/>
      <c r="L357" s="430"/>
      <c r="M357" s="430"/>
      <c r="N357" s="430"/>
      <c r="O357" s="430"/>
      <c r="P357" s="430"/>
      <c r="Q357" s="430"/>
      <c r="R357" s="430"/>
      <c r="S357" s="430"/>
      <c r="T357" s="430"/>
      <c r="U357" s="430"/>
      <c r="V357" s="430"/>
      <c r="W357" s="430"/>
      <c r="X357" s="430"/>
      <c r="Y357" s="430"/>
      <c r="Z357" s="426">
        <f ca="1" t="shared" si="58"/>
        <v>126.9</v>
      </c>
    </row>
    <row r="358" spans="4:26">
      <c r="D358" s="3">
        <v>121</v>
      </c>
      <c r="E358" s="426">
        <f ca="1" t="shared" si="56"/>
        <v>128</v>
      </c>
      <c r="F358" s="436">
        <v>1.07</v>
      </c>
      <c r="G358" s="436"/>
      <c r="H358" s="427">
        <f t="shared" si="57"/>
        <v>2306117</v>
      </c>
      <c r="I358" s="428">
        <f t="shared" si="55"/>
        <v>0</v>
      </c>
      <c r="J358" s="430"/>
      <c r="K358" s="430"/>
      <c r="L358" s="430"/>
      <c r="M358" s="430"/>
      <c r="N358" s="430"/>
      <c r="O358" s="430"/>
      <c r="P358" s="430"/>
      <c r="Q358" s="430"/>
      <c r="R358" s="430"/>
      <c r="S358" s="430"/>
      <c r="T358" s="430"/>
      <c r="U358" s="430"/>
      <c r="V358" s="430"/>
      <c r="W358" s="430"/>
      <c r="X358" s="430"/>
      <c r="Y358" s="430"/>
      <c r="Z358" s="426">
        <f ca="1" t="shared" si="58"/>
        <v>128.9</v>
      </c>
    </row>
    <row r="359" spans="4:26">
      <c r="D359" s="3">
        <v>122</v>
      </c>
      <c r="E359" s="426">
        <f ca="1" t="shared" si="56"/>
        <v>130</v>
      </c>
      <c r="F359" s="436">
        <v>1.07</v>
      </c>
      <c r="G359" s="436"/>
      <c r="H359" s="427">
        <f t="shared" si="57"/>
        <v>2467545</v>
      </c>
      <c r="I359" s="428">
        <f t="shared" si="55"/>
        <v>0</v>
      </c>
      <c r="J359" s="430"/>
      <c r="K359" s="430"/>
      <c r="L359" s="430"/>
      <c r="M359" s="430"/>
      <c r="N359" s="430"/>
      <c r="O359" s="430"/>
      <c r="P359" s="430"/>
      <c r="Q359" s="430"/>
      <c r="R359" s="430"/>
      <c r="S359" s="430"/>
      <c r="T359" s="430"/>
      <c r="U359" s="430"/>
      <c r="V359" s="430"/>
      <c r="W359" s="430"/>
      <c r="X359" s="430"/>
      <c r="Y359" s="430"/>
      <c r="Z359" s="426">
        <f ca="1" t="shared" si="58"/>
        <v>130.9</v>
      </c>
    </row>
    <row r="360" spans="4:26">
      <c r="D360" s="3">
        <v>123</v>
      </c>
      <c r="E360" s="426">
        <f ca="1" t="shared" si="56"/>
        <v>132</v>
      </c>
      <c r="F360" s="436">
        <v>1.07</v>
      </c>
      <c r="G360" s="436"/>
      <c r="H360" s="427">
        <f t="shared" si="57"/>
        <v>2640273</v>
      </c>
      <c r="I360" s="428">
        <f t="shared" si="55"/>
        <v>0</v>
      </c>
      <c r="J360" s="430"/>
      <c r="K360" s="430"/>
      <c r="L360" s="430"/>
      <c r="M360" s="430"/>
      <c r="N360" s="430"/>
      <c r="O360" s="430"/>
      <c r="P360" s="430"/>
      <c r="Q360" s="430"/>
      <c r="R360" s="430"/>
      <c r="S360" s="430"/>
      <c r="T360" s="430"/>
      <c r="U360" s="430"/>
      <c r="V360" s="430"/>
      <c r="W360" s="430"/>
      <c r="X360" s="430"/>
      <c r="Y360" s="430"/>
      <c r="Z360" s="426">
        <f ca="1" t="shared" si="58"/>
        <v>132.9</v>
      </c>
    </row>
    <row r="361" spans="4:26">
      <c r="D361" s="3">
        <v>124</v>
      </c>
      <c r="E361" s="426">
        <f ca="1" t="shared" si="56"/>
        <v>134</v>
      </c>
      <c r="F361" s="436">
        <v>1.07</v>
      </c>
      <c r="G361" s="436"/>
      <c r="H361" s="427">
        <f t="shared" si="57"/>
        <v>2825092</v>
      </c>
      <c r="I361" s="428">
        <f t="shared" si="55"/>
        <v>0</v>
      </c>
      <c r="J361" s="430"/>
      <c r="K361" s="430"/>
      <c r="L361" s="430"/>
      <c r="M361" s="430"/>
      <c r="N361" s="430"/>
      <c r="O361" s="430"/>
      <c r="P361" s="430"/>
      <c r="Q361" s="430"/>
      <c r="R361" s="430"/>
      <c r="S361" s="430"/>
      <c r="T361" s="430"/>
      <c r="U361" s="430"/>
      <c r="V361" s="430"/>
      <c r="W361" s="430"/>
      <c r="X361" s="430"/>
      <c r="Y361" s="430"/>
      <c r="Z361" s="426">
        <f ca="1" t="shared" si="58"/>
        <v>134.9</v>
      </c>
    </row>
    <row r="362" spans="4:26">
      <c r="D362" s="3">
        <v>125</v>
      </c>
      <c r="E362" s="426">
        <f ca="1" t="shared" si="56"/>
        <v>136</v>
      </c>
      <c r="F362" s="436">
        <v>1.07</v>
      </c>
      <c r="G362" s="436"/>
      <c r="H362" s="427">
        <f t="shared" si="57"/>
        <v>3022848</v>
      </c>
      <c r="I362" s="428">
        <f t="shared" si="55"/>
        <v>0</v>
      </c>
      <c r="J362" s="430"/>
      <c r="K362" s="430"/>
      <c r="L362" s="430"/>
      <c r="M362" s="430"/>
      <c r="N362" s="430"/>
      <c r="O362" s="430"/>
      <c r="P362" s="430"/>
      <c r="Q362" s="430"/>
      <c r="R362" s="430"/>
      <c r="S362" s="430"/>
      <c r="T362" s="430"/>
      <c r="U362" s="430"/>
      <c r="V362" s="430"/>
      <c r="W362" s="430"/>
      <c r="X362" s="430"/>
      <c r="Y362" s="430"/>
      <c r="Z362" s="426">
        <f ca="1" t="shared" si="58"/>
        <v>136.9</v>
      </c>
    </row>
    <row r="363" spans="4:26">
      <c r="D363" s="3">
        <v>126</v>
      </c>
      <c r="E363" s="426">
        <f ca="1" t="shared" si="56"/>
        <v>138</v>
      </c>
      <c r="F363" s="436">
        <v>1.07</v>
      </c>
      <c r="G363" s="436"/>
      <c r="H363" s="427">
        <f t="shared" si="57"/>
        <v>3234447</v>
      </c>
      <c r="I363" s="428">
        <f t="shared" si="55"/>
        <v>0</v>
      </c>
      <c r="J363" s="430"/>
      <c r="K363" s="430"/>
      <c r="L363" s="430"/>
      <c r="M363" s="430"/>
      <c r="N363" s="430"/>
      <c r="O363" s="430"/>
      <c r="P363" s="430"/>
      <c r="Q363" s="430"/>
      <c r="R363" s="430"/>
      <c r="S363" s="430"/>
      <c r="T363" s="430"/>
      <c r="U363" s="430"/>
      <c r="V363" s="430"/>
      <c r="W363" s="430"/>
      <c r="X363" s="430"/>
      <c r="Y363" s="430"/>
      <c r="Z363" s="426">
        <f ca="1" t="shared" si="58"/>
        <v>138.9</v>
      </c>
    </row>
    <row r="364" spans="4:26">
      <c r="D364" s="3">
        <v>127</v>
      </c>
      <c r="E364" s="426">
        <f ca="1" t="shared" si="56"/>
        <v>140</v>
      </c>
      <c r="F364" s="436">
        <v>1.07</v>
      </c>
      <c r="G364" s="436"/>
      <c r="H364" s="427">
        <f t="shared" si="57"/>
        <v>3460858</v>
      </c>
      <c r="I364" s="428">
        <f t="shared" si="55"/>
        <v>0</v>
      </c>
      <c r="J364" s="430"/>
      <c r="K364" s="430"/>
      <c r="L364" s="430"/>
      <c r="M364" s="430"/>
      <c r="N364" s="430"/>
      <c r="O364" s="430"/>
      <c r="P364" s="430"/>
      <c r="Q364" s="430"/>
      <c r="R364" s="430"/>
      <c r="S364" s="430"/>
      <c r="T364" s="430"/>
      <c r="U364" s="430"/>
      <c r="V364" s="430"/>
      <c r="W364" s="430"/>
      <c r="X364" s="430"/>
      <c r="Y364" s="430"/>
      <c r="Z364" s="426">
        <f ca="1" t="shared" si="58"/>
        <v>140.9</v>
      </c>
    </row>
    <row r="365" spans="4:26">
      <c r="D365" s="3">
        <v>128</v>
      </c>
      <c r="E365" s="426">
        <f ca="1" t="shared" si="56"/>
        <v>142</v>
      </c>
      <c r="F365" s="436">
        <v>1.07</v>
      </c>
      <c r="G365" s="436"/>
      <c r="H365" s="427">
        <f t="shared" si="57"/>
        <v>3703118</v>
      </c>
      <c r="I365" s="428">
        <f t="shared" si="55"/>
        <v>0</v>
      </c>
      <c r="J365" s="430"/>
      <c r="K365" s="430"/>
      <c r="L365" s="430"/>
      <c r="M365" s="430"/>
      <c r="N365" s="430"/>
      <c r="O365" s="430"/>
      <c r="P365" s="430"/>
      <c r="Q365" s="430"/>
      <c r="R365" s="430"/>
      <c r="S365" s="430"/>
      <c r="T365" s="430"/>
      <c r="U365" s="430"/>
      <c r="V365" s="430"/>
      <c r="W365" s="430"/>
      <c r="X365" s="430"/>
      <c r="Y365" s="430"/>
      <c r="Z365" s="426">
        <f ca="1" t="shared" si="58"/>
        <v>142.9</v>
      </c>
    </row>
    <row r="366" spans="4:26">
      <c r="D366" s="3">
        <v>129</v>
      </c>
      <c r="E366" s="426">
        <f ca="1" t="shared" si="56"/>
        <v>144</v>
      </c>
      <c r="F366" s="436">
        <v>1.07</v>
      </c>
      <c r="G366" s="436"/>
      <c r="H366" s="427">
        <f t="shared" si="57"/>
        <v>3962336</v>
      </c>
      <c r="I366" s="428">
        <f t="shared" ref="I366:I429" si="59">(J366+Q366)*K366*L366*M366*N366*O366*P366*R366*S366*T366*U366*V366*Y366/H366</f>
        <v>0</v>
      </c>
      <c r="J366" s="430"/>
      <c r="K366" s="430"/>
      <c r="L366" s="430"/>
      <c r="M366" s="430"/>
      <c r="N366" s="430"/>
      <c r="O366" s="430"/>
      <c r="P366" s="430"/>
      <c r="Q366" s="430"/>
      <c r="R366" s="430"/>
      <c r="S366" s="430"/>
      <c r="T366" s="430"/>
      <c r="U366" s="430"/>
      <c r="V366" s="430"/>
      <c r="W366" s="430"/>
      <c r="X366" s="430"/>
      <c r="Y366" s="430"/>
      <c r="Z366" s="426">
        <f ca="1" t="shared" si="58"/>
        <v>144.9</v>
      </c>
    </row>
    <row r="367" spans="4:26">
      <c r="D367" s="3">
        <v>130</v>
      </c>
      <c r="E367" s="426">
        <f ca="1" t="shared" ref="E367:E430" si="60">INT(Z367)</f>
        <v>146</v>
      </c>
      <c r="F367" s="436">
        <v>1.07</v>
      </c>
      <c r="G367" s="436"/>
      <c r="H367" s="427">
        <f t="shared" ref="H367:H430" si="61">INT(H366*F367)</f>
        <v>4239699</v>
      </c>
      <c r="I367" s="428">
        <f t="shared" si="59"/>
        <v>0</v>
      </c>
      <c r="J367" s="430"/>
      <c r="K367" s="430"/>
      <c r="L367" s="430"/>
      <c r="M367" s="430"/>
      <c r="N367" s="430"/>
      <c r="O367" s="430"/>
      <c r="P367" s="430"/>
      <c r="Q367" s="430"/>
      <c r="R367" s="430"/>
      <c r="S367" s="430"/>
      <c r="T367" s="430"/>
      <c r="U367" s="430"/>
      <c r="V367" s="430"/>
      <c r="W367" s="430"/>
      <c r="X367" s="430"/>
      <c r="Y367" s="430"/>
      <c r="Z367" s="426">
        <f ca="1" t="shared" ref="Z367:Z430" si="62">Z366+1/OFFSET($F$63,IFERROR(MATCH(D366,$E$149:$E$181,1)+1,1),0)</f>
        <v>146.9</v>
      </c>
    </row>
    <row r="368" spans="4:26">
      <c r="D368" s="3">
        <v>131</v>
      </c>
      <c r="E368" s="426">
        <f ca="1" t="shared" si="60"/>
        <v>148</v>
      </c>
      <c r="F368" s="436">
        <v>1.07</v>
      </c>
      <c r="G368" s="436"/>
      <c r="H368" s="427">
        <f t="shared" si="61"/>
        <v>4536477</v>
      </c>
      <c r="I368" s="428">
        <f t="shared" si="59"/>
        <v>0</v>
      </c>
      <c r="J368" s="430"/>
      <c r="K368" s="430"/>
      <c r="L368" s="430"/>
      <c r="M368" s="430"/>
      <c r="N368" s="430"/>
      <c r="O368" s="430"/>
      <c r="P368" s="430"/>
      <c r="Q368" s="430"/>
      <c r="R368" s="430"/>
      <c r="S368" s="430"/>
      <c r="T368" s="430"/>
      <c r="U368" s="430"/>
      <c r="V368" s="430"/>
      <c r="W368" s="430"/>
      <c r="X368" s="430"/>
      <c r="Y368" s="430"/>
      <c r="Z368" s="426">
        <f ca="1" t="shared" si="62"/>
        <v>148.9</v>
      </c>
    </row>
    <row r="369" spans="4:26">
      <c r="D369" s="3">
        <v>132</v>
      </c>
      <c r="E369" s="426">
        <f ca="1" t="shared" si="60"/>
        <v>150</v>
      </c>
      <c r="F369" s="436">
        <v>1.07</v>
      </c>
      <c r="G369" s="436"/>
      <c r="H369" s="427">
        <f t="shared" si="61"/>
        <v>4854030</v>
      </c>
      <c r="I369" s="428">
        <f t="shared" si="59"/>
        <v>0</v>
      </c>
      <c r="J369" s="430"/>
      <c r="K369" s="430"/>
      <c r="L369" s="430"/>
      <c r="M369" s="430"/>
      <c r="N369" s="430"/>
      <c r="O369" s="430"/>
      <c r="P369" s="430"/>
      <c r="Q369" s="430"/>
      <c r="R369" s="430"/>
      <c r="S369" s="430"/>
      <c r="T369" s="430"/>
      <c r="U369" s="430"/>
      <c r="V369" s="430"/>
      <c r="W369" s="430"/>
      <c r="X369" s="430"/>
      <c r="Y369" s="430"/>
      <c r="Z369" s="426">
        <f ca="1" t="shared" si="62"/>
        <v>150.9</v>
      </c>
    </row>
    <row r="370" spans="4:26">
      <c r="D370" s="3">
        <v>133</v>
      </c>
      <c r="E370" s="426">
        <f ca="1" t="shared" si="60"/>
        <v>152</v>
      </c>
      <c r="F370" s="436">
        <v>1.07</v>
      </c>
      <c r="G370" s="436"/>
      <c r="H370" s="427">
        <f t="shared" si="61"/>
        <v>5193812</v>
      </c>
      <c r="I370" s="428">
        <f t="shared" si="59"/>
        <v>0</v>
      </c>
      <c r="J370" s="430"/>
      <c r="K370" s="430"/>
      <c r="L370" s="430"/>
      <c r="M370" s="430"/>
      <c r="N370" s="430"/>
      <c r="O370" s="430"/>
      <c r="P370" s="430"/>
      <c r="Q370" s="430"/>
      <c r="R370" s="430"/>
      <c r="S370" s="430"/>
      <c r="T370" s="430"/>
      <c r="U370" s="430"/>
      <c r="V370" s="430"/>
      <c r="W370" s="430"/>
      <c r="X370" s="430"/>
      <c r="Y370" s="430"/>
      <c r="Z370" s="426">
        <f ca="1" t="shared" si="62"/>
        <v>152.9</v>
      </c>
    </row>
    <row r="371" spans="4:26">
      <c r="D371" s="3">
        <v>134</v>
      </c>
      <c r="E371" s="426">
        <f ca="1" t="shared" si="60"/>
        <v>154</v>
      </c>
      <c r="F371" s="436">
        <v>1.07</v>
      </c>
      <c r="G371" s="436"/>
      <c r="H371" s="427">
        <f t="shared" si="61"/>
        <v>5557378</v>
      </c>
      <c r="I371" s="428">
        <f t="shared" si="59"/>
        <v>0</v>
      </c>
      <c r="J371" s="430"/>
      <c r="K371" s="430"/>
      <c r="L371" s="430"/>
      <c r="M371" s="430"/>
      <c r="N371" s="430"/>
      <c r="O371" s="430"/>
      <c r="P371" s="430"/>
      <c r="Q371" s="430"/>
      <c r="R371" s="430"/>
      <c r="S371" s="430"/>
      <c r="T371" s="430"/>
      <c r="U371" s="430"/>
      <c r="V371" s="430"/>
      <c r="W371" s="430"/>
      <c r="X371" s="430"/>
      <c r="Y371" s="430"/>
      <c r="Z371" s="426">
        <f ca="1" t="shared" si="62"/>
        <v>154.9</v>
      </c>
    </row>
    <row r="372" spans="4:26">
      <c r="D372" s="3">
        <v>135</v>
      </c>
      <c r="E372" s="426">
        <f ca="1" t="shared" si="60"/>
        <v>156</v>
      </c>
      <c r="F372" s="436">
        <v>1.07</v>
      </c>
      <c r="G372" s="436"/>
      <c r="H372" s="427">
        <f t="shared" si="61"/>
        <v>5946394</v>
      </c>
      <c r="I372" s="428">
        <f t="shared" si="59"/>
        <v>0</v>
      </c>
      <c r="J372" s="430"/>
      <c r="K372" s="430"/>
      <c r="L372" s="430"/>
      <c r="M372" s="430"/>
      <c r="N372" s="430"/>
      <c r="O372" s="430"/>
      <c r="P372" s="430"/>
      <c r="Q372" s="430"/>
      <c r="R372" s="430"/>
      <c r="S372" s="430"/>
      <c r="T372" s="430"/>
      <c r="U372" s="430"/>
      <c r="V372" s="430"/>
      <c r="W372" s="430"/>
      <c r="X372" s="430"/>
      <c r="Y372" s="430"/>
      <c r="Z372" s="426">
        <f ca="1" t="shared" si="62"/>
        <v>156.9</v>
      </c>
    </row>
    <row r="373" spans="4:26">
      <c r="D373" s="3">
        <v>136</v>
      </c>
      <c r="E373" s="426">
        <f ca="1" t="shared" si="60"/>
        <v>158</v>
      </c>
      <c r="F373" s="436">
        <v>1.07</v>
      </c>
      <c r="G373" s="436"/>
      <c r="H373" s="427">
        <f t="shared" si="61"/>
        <v>6362641</v>
      </c>
      <c r="I373" s="428">
        <f t="shared" si="59"/>
        <v>0</v>
      </c>
      <c r="J373" s="430"/>
      <c r="K373" s="430"/>
      <c r="L373" s="430"/>
      <c r="M373" s="430"/>
      <c r="N373" s="430"/>
      <c r="O373" s="430"/>
      <c r="P373" s="430"/>
      <c r="Q373" s="430"/>
      <c r="R373" s="430"/>
      <c r="S373" s="430"/>
      <c r="T373" s="430"/>
      <c r="U373" s="430"/>
      <c r="V373" s="430"/>
      <c r="W373" s="430"/>
      <c r="X373" s="430"/>
      <c r="Y373" s="430"/>
      <c r="Z373" s="426">
        <f ca="1" t="shared" si="62"/>
        <v>158.9</v>
      </c>
    </row>
    <row r="374" spans="4:26">
      <c r="D374" s="3">
        <v>137</v>
      </c>
      <c r="E374" s="426">
        <f ca="1" t="shared" si="60"/>
        <v>160</v>
      </c>
      <c r="F374" s="436">
        <v>1.07</v>
      </c>
      <c r="G374" s="436"/>
      <c r="H374" s="427">
        <f t="shared" si="61"/>
        <v>6808025</v>
      </c>
      <c r="I374" s="428">
        <f t="shared" si="59"/>
        <v>0</v>
      </c>
      <c r="J374" s="430"/>
      <c r="K374" s="430"/>
      <c r="L374" s="430"/>
      <c r="M374" s="430"/>
      <c r="N374" s="430"/>
      <c r="O374" s="430"/>
      <c r="P374" s="430"/>
      <c r="Q374" s="430"/>
      <c r="R374" s="430"/>
      <c r="S374" s="430"/>
      <c r="T374" s="430"/>
      <c r="U374" s="430"/>
      <c r="V374" s="430"/>
      <c r="W374" s="430"/>
      <c r="X374" s="430"/>
      <c r="Y374" s="430"/>
      <c r="Z374" s="426">
        <f ca="1" t="shared" si="62"/>
        <v>160.9</v>
      </c>
    </row>
    <row r="375" spans="4:26">
      <c r="D375" s="3">
        <v>138</v>
      </c>
      <c r="E375" s="426">
        <f ca="1" t="shared" si="60"/>
        <v>162</v>
      </c>
      <c r="F375" s="436">
        <v>1.07</v>
      </c>
      <c r="G375" s="436"/>
      <c r="H375" s="427">
        <f t="shared" si="61"/>
        <v>7284586</v>
      </c>
      <c r="I375" s="428">
        <f t="shared" si="59"/>
        <v>0</v>
      </c>
      <c r="J375" s="430"/>
      <c r="K375" s="430"/>
      <c r="L375" s="430"/>
      <c r="M375" s="430"/>
      <c r="N375" s="430"/>
      <c r="O375" s="430"/>
      <c r="P375" s="430"/>
      <c r="Q375" s="430"/>
      <c r="R375" s="430"/>
      <c r="S375" s="430"/>
      <c r="T375" s="430"/>
      <c r="U375" s="430"/>
      <c r="V375" s="430"/>
      <c r="W375" s="430"/>
      <c r="X375" s="430"/>
      <c r="Y375" s="430"/>
      <c r="Z375" s="426">
        <f ca="1" t="shared" si="62"/>
        <v>162.9</v>
      </c>
    </row>
    <row r="376" spans="4:26">
      <c r="D376" s="3">
        <v>139</v>
      </c>
      <c r="E376" s="426">
        <f ca="1" t="shared" si="60"/>
        <v>164</v>
      </c>
      <c r="F376" s="436">
        <v>1.07</v>
      </c>
      <c r="G376" s="436"/>
      <c r="H376" s="427">
        <f t="shared" si="61"/>
        <v>7794507</v>
      </c>
      <c r="I376" s="428">
        <f t="shared" si="59"/>
        <v>0</v>
      </c>
      <c r="J376" s="430"/>
      <c r="K376" s="430"/>
      <c r="L376" s="430"/>
      <c r="M376" s="430"/>
      <c r="N376" s="430"/>
      <c r="O376" s="430"/>
      <c r="P376" s="430"/>
      <c r="Q376" s="430"/>
      <c r="R376" s="430"/>
      <c r="S376" s="430"/>
      <c r="T376" s="430"/>
      <c r="U376" s="430"/>
      <c r="V376" s="430"/>
      <c r="W376" s="430"/>
      <c r="X376" s="430"/>
      <c r="Y376" s="430"/>
      <c r="Z376" s="426">
        <f ca="1" t="shared" si="62"/>
        <v>164.9</v>
      </c>
    </row>
    <row r="377" spans="4:26">
      <c r="D377" s="3">
        <v>140</v>
      </c>
      <c r="E377" s="426">
        <f ca="1" t="shared" si="60"/>
        <v>166</v>
      </c>
      <c r="F377" s="436">
        <v>1.07</v>
      </c>
      <c r="G377" s="436"/>
      <c r="H377" s="427">
        <f t="shared" si="61"/>
        <v>8340122</v>
      </c>
      <c r="I377" s="428">
        <f t="shared" si="59"/>
        <v>0</v>
      </c>
      <c r="J377" s="430"/>
      <c r="K377" s="430"/>
      <c r="L377" s="430"/>
      <c r="M377" s="430"/>
      <c r="N377" s="430"/>
      <c r="O377" s="430"/>
      <c r="P377" s="430"/>
      <c r="Q377" s="430"/>
      <c r="R377" s="430"/>
      <c r="S377" s="430"/>
      <c r="T377" s="430"/>
      <c r="U377" s="430"/>
      <c r="V377" s="430"/>
      <c r="W377" s="430"/>
      <c r="X377" s="430"/>
      <c r="Y377" s="430"/>
      <c r="Z377" s="426">
        <f ca="1" t="shared" si="62"/>
        <v>166.9</v>
      </c>
    </row>
    <row r="378" spans="4:26">
      <c r="D378" s="3">
        <v>141</v>
      </c>
      <c r="E378" s="426">
        <f ca="1" t="shared" si="60"/>
        <v>168</v>
      </c>
      <c r="F378" s="436">
        <v>1.07</v>
      </c>
      <c r="G378" s="436"/>
      <c r="H378" s="427">
        <f t="shared" si="61"/>
        <v>8923930</v>
      </c>
      <c r="I378" s="428">
        <f t="shared" si="59"/>
        <v>0</v>
      </c>
      <c r="J378" s="430"/>
      <c r="K378" s="430"/>
      <c r="L378" s="430"/>
      <c r="M378" s="430"/>
      <c r="N378" s="430"/>
      <c r="O378" s="430"/>
      <c r="P378" s="430"/>
      <c r="Q378" s="430"/>
      <c r="R378" s="430"/>
      <c r="S378" s="430"/>
      <c r="T378" s="430"/>
      <c r="U378" s="430"/>
      <c r="V378" s="430"/>
      <c r="W378" s="430"/>
      <c r="X378" s="430"/>
      <c r="Y378" s="430"/>
      <c r="Z378" s="426">
        <f ca="1" t="shared" si="62"/>
        <v>168.9</v>
      </c>
    </row>
    <row r="379" spans="4:26">
      <c r="D379" s="3">
        <v>142</v>
      </c>
      <c r="E379" s="426">
        <f ca="1" t="shared" si="60"/>
        <v>170</v>
      </c>
      <c r="F379" s="436">
        <v>1.07</v>
      </c>
      <c r="G379" s="436"/>
      <c r="H379" s="427">
        <f t="shared" si="61"/>
        <v>9548605</v>
      </c>
      <c r="I379" s="428">
        <f t="shared" si="59"/>
        <v>0</v>
      </c>
      <c r="J379" s="430"/>
      <c r="K379" s="430"/>
      <c r="L379" s="430"/>
      <c r="M379" s="430"/>
      <c r="N379" s="430"/>
      <c r="O379" s="430"/>
      <c r="P379" s="430"/>
      <c r="Q379" s="430"/>
      <c r="R379" s="430"/>
      <c r="S379" s="430"/>
      <c r="T379" s="430"/>
      <c r="U379" s="430"/>
      <c r="V379" s="430"/>
      <c r="W379" s="430"/>
      <c r="X379" s="430"/>
      <c r="Y379" s="430"/>
      <c r="Z379" s="426">
        <f ca="1" t="shared" si="62"/>
        <v>170.9</v>
      </c>
    </row>
    <row r="380" spans="4:26">
      <c r="D380" s="3">
        <v>143</v>
      </c>
      <c r="E380" s="426">
        <f ca="1" t="shared" si="60"/>
        <v>172</v>
      </c>
      <c r="F380" s="436">
        <v>1.07</v>
      </c>
      <c r="G380" s="436"/>
      <c r="H380" s="427">
        <f t="shared" si="61"/>
        <v>10217007</v>
      </c>
      <c r="I380" s="428">
        <f t="shared" si="59"/>
        <v>0</v>
      </c>
      <c r="J380" s="430"/>
      <c r="K380" s="430"/>
      <c r="L380" s="430"/>
      <c r="M380" s="430"/>
      <c r="N380" s="430"/>
      <c r="O380" s="430"/>
      <c r="P380" s="430"/>
      <c r="Q380" s="430"/>
      <c r="R380" s="430"/>
      <c r="S380" s="430"/>
      <c r="T380" s="430"/>
      <c r="U380" s="430"/>
      <c r="V380" s="430"/>
      <c r="W380" s="430"/>
      <c r="X380" s="430"/>
      <c r="Y380" s="430"/>
      <c r="Z380" s="426">
        <f ca="1" t="shared" si="62"/>
        <v>172.9</v>
      </c>
    </row>
    <row r="381" spans="4:26">
      <c r="D381" s="3">
        <v>144</v>
      </c>
      <c r="E381" s="426">
        <f ca="1" t="shared" si="60"/>
        <v>174</v>
      </c>
      <c r="F381" s="436">
        <v>1.07</v>
      </c>
      <c r="G381" s="436"/>
      <c r="H381" s="427">
        <f t="shared" si="61"/>
        <v>10932197</v>
      </c>
      <c r="I381" s="428">
        <f t="shared" si="59"/>
        <v>0</v>
      </c>
      <c r="J381" s="430"/>
      <c r="K381" s="430"/>
      <c r="L381" s="430"/>
      <c r="M381" s="430"/>
      <c r="N381" s="430"/>
      <c r="O381" s="430"/>
      <c r="P381" s="430"/>
      <c r="Q381" s="430"/>
      <c r="R381" s="430"/>
      <c r="S381" s="430"/>
      <c r="T381" s="430"/>
      <c r="U381" s="430"/>
      <c r="V381" s="430"/>
      <c r="W381" s="430"/>
      <c r="X381" s="430"/>
      <c r="Y381" s="430"/>
      <c r="Z381" s="426">
        <f ca="1" t="shared" si="62"/>
        <v>174.9</v>
      </c>
    </row>
    <row r="382" spans="4:26">
      <c r="D382" s="3">
        <v>145</v>
      </c>
      <c r="E382" s="426">
        <f ca="1" t="shared" si="60"/>
        <v>176</v>
      </c>
      <c r="F382" s="436">
        <v>1.07</v>
      </c>
      <c r="G382" s="436"/>
      <c r="H382" s="427">
        <f t="shared" si="61"/>
        <v>11697450</v>
      </c>
      <c r="I382" s="428">
        <f t="shared" si="59"/>
        <v>0</v>
      </c>
      <c r="J382" s="430"/>
      <c r="K382" s="430"/>
      <c r="L382" s="430"/>
      <c r="M382" s="430"/>
      <c r="N382" s="430"/>
      <c r="O382" s="430"/>
      <c r="P382" s="430"/>
      <c r="Q382" s="430"/>
      <c r="R382" s="430"/>
      <c r="S382" s="430"/>
      <c r="T382" s="430"/>
      <c r="U382" s="430"/>
      <c r="V382" s="430"/>
      <c r="W382" s="430"/>
      <c r="X382" s="430"/>
      <c r="Y382" s="430"/>
      <c r="Z382" s="426">
        <f ca="1" t="shared" si="62"/>
        <v>176.9</v>
      </c>
    </row>
    <row r="383" spans="4:26">
      <c r="D383" s="3">
        <v>146</v>
      </c>
      <c r="E383" s="426">
        <f ca="1" t="shared" si="60"/>
        <v>178</v>
      </c>
      <c r="F383" s="436">
        <v>1.07</v>
      </c>
      <c r="G383" s="436"/>
      <c r="H383" s="427">
        <f t="shared" si="61"/>
        <v>12516271</v>
      </c>
      <c r="I383" s="428">
        <f t="shared" si="59"/>
        <v>0</v>
      </c>
      <c r="J383" s="430"/>
      <c r="K383" s="430"/>
      <c r="L383" s="430"/>
      <c r="M383" s="430"/>
      <c r="N383" s="430"/>
      <c r="O383" s="430"/>
      <c r="P383" s="430"/>
      <c r="Q383" s="430"/>
      <c r="R383" s="430"/>
      <c r="S383" s="430"/>
      <c r="T383" s="430"/>
      <c r="U383" s="430"/>
      <c r="V383" s="430"/>
      <c r="W383" s="430"/>
      <c r="X383" s="430"/>
      <c r="Y383" s="430"/>
      <c r="Z383" s="426">
        <f ca="1" t="shared" si="62"/>
        <v>178.9</v>
      </c>
    </row>
    <row r="384" spans="4:26">
      <c r="D384" s="3">
        <v>147</v>
      </c>
      <c r="E384" s="426">
        <f ca="1" t="shared" si="60"/>
        <v>180</v>
      </c>
      <c r="F384" s="436">
        <v>1.07</v>
      </c>
      <c r="G384" s="436"/>
      <c r="H384" s="427">
        <f t="shared" si="61"/>
        <v>13392409</v>
      </c>
      <c r="I384" s="428">
        <f t="shared" si="59"/>
        <v>0</v>
      </c>
      <c r="J384" s="430"/>
      <c r="K384" s="430"/>
      <c r="L384" s="430"/>
      <c r="M384" s="430"/>
      <c r="N384" s="430"/>
      <c r="O384" s="430"/>
      <c r="P384" s="430"/>
      <c r="Q384" s="430"/>
      <c r="R384" s="430"/>
      <c r="S384" s="430"/>
      <c r="T384" s="430"/>
      <c r="U384" s="430"/>
      <c r="V384" s="430"/>
      <c r="W384" s="430"/>
      <c r="X384" s="430"/>
      <c r="Y384" s="430"/>
      <c r="Z384" s="426">
        <f ca="1" t="shared" si="62"/>
        <v>180.9</v>
      </c>
    </row>
    <row r="385" spans="4:26">
      <c r="D385" s="3">
        <v>148</v>
      </c>
      <c r="E385" s="426">
        <f ca="1" t="shared" si="60"/>
        <v>182</v>
      </c>
      <c r="F385" s="436">
        <v>1.07</v>
      </c>
      <c r="G385" s="436"/>
      <c r="H385" s="427">
        <f t="shared" si="61"/>
        <v>14329877</v>
      </c>
      <c r="I385" s="428">
        <f t="shared" si="59"/>
        <v>0</v>
      </c>
      <c r="J385" s="430"/>
      <c r="K385" s="430"/>
      <c r="L385" s="430"/>
      <c r="M385" s="430"/>
      <c r="N385" s="430"/>
      <c r="O385" s="430"/>
      <c r="P385" s="430"/>
      <c r="Q385" s="430"/>
      <c r="R385" s="430"/>
      <c r="S385" s="430"/>
      <c r="T385" s="430"/>
      <c r="U385" s="430"/>
      <c r="V385" s="430"/>
      <c r="W385" s="430"/>
      <c r="X385" s="430"/>
      <c r="Y385" s="430"/>
      <c r="Z385" s="426">
        <f ca="1" t="shared" si="62"/>
        <v>182.9</v>
      </c>
    </row>
    <row r="386" spans="4:26">
      <c r="D386" s="3">
        <v>149</v>
      </c>
      <c r="E386" s="426">
        <f ca="1" t="shared" si="60"/>
        <v>184</v>
      </c>
      <c r="F386" s="436">
        <v>1.07</v>
      </c>
      <c r="G386" s="436"/>
      <c r="H386" s="427">
        <f t="shared" si="61"/>
        <v>15332968</v>
      </c>
      <c r="I386" s="428">
        <f t="shared" si="59"/>
        <v>0</v>
      </c>
      <c r="J386" s="430"/>
      <c r="K386" s="430"/>
      <c r="L386" s="430"/>
      <c r="M386" s="430"/>
      <c r="N386" s="430"/>
      <c r="O386" s="430"/>
      <c r="P386" s="430"/>
      <c r="Q386" s="430"/>
      <c r="R386" s="430"/>
      <c r="S386" s="430"/>
      <c r="T386" s="430"/>
      <c r="U386" s="430"/>
      <c r="V386" s="430"/>
      <c r="W386" s="430"/>
      <c r="X386" s="430"/>
      <c r="Y386" s="430"/>
      <c r="Z386" s="426">
        <f ca="1" t="shared" si="62"/>
        <v>184.9</v>
      </c>
    </row>
    <row r="387" spans="4:26">
      <c r="D387" s="3">
        <v>150</v>
      </c>
      <c r="E387" s="426">
        <f ca="1" t="shared" si="60"/>
        <v>186</v>
      </c>
      <c r="F387" s="436">
        <v>1.07</v>
      </c>
      <c r="G387" s="436"/>
      <c r="H387" s="427">
        <f t="shared" si="61"/>
        <v>16406275</v>
      </c>
      <c r="I387" s="428">
        <f t="shared" si="59"/>
        <v>0</v>
      </c>
      <c r="J387" s="430"/>
      <c r="K387" s="430"/>
      <c r="L387" s="430"/>
      <c r="M387" s="430"/>
      <c r="N387" s="430"/>
      <c r="O387" s="430"/>
      <c r="P387" s="430"/>
      <c r="Q387" s="430"/>
      <c r="R387" s="430"/>
      <c r="S387" s="430"/>
      <c r="T387" s="430"/>
      <c r="U387" s="430"/>
      <c r="V387" s="430"/>
      <c r="W387" s="430"/>
      <c r="X387" s="430"/>
      <c r="Y387" s="430"/>
      <c r="Z387" s="426">
        <f ca="1" t="shared" si="62"/>
        <v>186.9</v>
      </c>
    </row>
    <row r="388" spans="4:26">
      <c r="D388" s="3">
        <v>151</v>
      </c>
      <c r="E388" s="426">
        <f ca="1" t="shared" si="60"/>
        <v>188</v>
      </c>
      <c r="F388" s="436">
        <v>1.07</v>
      </c>
      <c r="G388" s="436"/>
      <c r="H388" s="427">
        <f t="shared" si="61"/>
        <v>17554714</v>
      </c>
      <c r="I388" s="428">
        <f t="shared" si="59"/>
        <v>0</v>
      </c>
      <c r="J388" s="437"/>
      <c r="K388" s="437"/>
      <c r="L388" s="437"/>
      <c r="M388" s="437"/>
      <c r="N388" s="437"/>
      <c r="O388" s="437"/>
      <c r="P388" s="437"/>
      <c r="Q388" s="437"/>
      <c r="R388" s="437"/>
      <c r="S388" s="437"/>
      <c r="T388" s="437"/>
      <c r="U388" s="437"/>
      <c r="V388" s="437"/>
      <c r="W388" s="437"/>
      <c r="X388" s="437"/>
      <c r="Y388" s="437"/>
      <c r="Z388" s="426">
        <f ca="1" t="shared" si="62"/>
        <v>188.9</v>
      </c>
    </row>
    <row r="389" spans="4:26">
      <c r="D389" s="3">
        <v>152</v>
      </c>
      <c r="E389" s="426">
        <f ca="1" t="shared" si="60"/>
        <v>190</v>
      </c>
      <c r="F389" s="436">
        <v>1.07</v>
      </c>
      <c r="G389" s="436"/>
      <c r="H389" s="427">
        <f t="shared" si="61"/>
        <v>18783543</v>
      </c>
      <c r="I389" s="428">
        <f t="shared" si="59"/>
        <v>0</v>
      </c>
      <c r="J389" s="437"/>
      <c r="K389" s="437"/>
      <c r="L389" s="437"/>
      <c r="M389" s="437"/>
      <c r="N389" s="437"/>
      <c r="O389" s="437"/>
      <c r="P389" s="437"/>
      <c r="Q389" s="437"/>
      <c r="R389" s="437"/>
      <c r="S389" s="437"/>
      <c r="T389" s="437"/>
      <c r="U389" s="437"/>
      <c r="V389" s="437"/>
      <c r="W389" s="437"/>
      <c r="X389" s="437"/>
      <c r="Y389" s="437"/>
      <c r="Z389" s="426">
        <f ca="1" t="shared" si="62"/>
        <v>190.9</v>
      </c>
    </row>
    <row r="390" spans="4:26">
      <c r="D390" s="3">
        <v>153</v>
      </c>
      <c r="E390" s="426">
        <f ca="1" t="shared" si="60"/>
        <v>192</v>
      </c>
      <c r="F390" s="436">
        <v>1.07</v>
      </c>
      <c r="G390" s="436"/>
      <c r="H390" s="427">
        <f t="shared" si="61"/>
        <v>20098391</v>
      </c>
      <c r="I390" s="428">
        <f t="shared" si="59"/>
        <v>0</v>
      </c>
      <c r="J390" s="437"/>
      <c r="K390" s="437"/>
      <c r="L390" s="437"/>
      <c r="M390" s="437"/>
      <c r="N390" s="437"/>
      <c r="O390" s="437"/>
      <c r="P390" s="437"/>
      <c r="Q390" s="437"/>
      <c r="R390" s="437"/>
      <c r="S390" s="437"/>
      <c r="T390" s="437"/>
      <c r="U390" s="437"/>
      <c r="V390" s="437"/>
      <c r="W390" s="437"/>
      <c r="X390" s="437"/>
      <c r="Y390" s="437"/>
      <c r="Z390" s="426">
        <f ca="1" t="shared" si="62"/>
        <v>192.9</v>
      </c>
    </row>
    <row r="391" spans="4:26">
      <c r="D391" s="3">
        <v>154</v>
      </c>
      <c r="E391" s="426">
        <f ca="1" t="shared" si="60"/>
        <v>194</v>
      </c>
      <c r="F391" s="436">
        <v>1.07</v>
      </c>
      <c r="G391" s="436"/>
      <c r="H391" s="427">
        <f t="shared" si="61"/>
        <v>21505278</v>
      </c>
      <c r="I391" s="428">
        <f t="shared" si="59"/>
        <v>0</v>
      </c>
      <c r="J391" s="437"/>
      <c r="K391" s="437"/>
      <c r="L391" s="437"/>
      <c r="M391" s="437"/>
      <c r="N391" s="437"/>
      <c r="O391" s="437"/>
      <c r="P391" s="437"/>
      <c r="Q391" s="437"/>
      <c r="R391" s="437"/>
      <c r="S391" s="437"/>
      <c r="T391" s="437"/>
      <c r="U391" s="437"/>
      <c r="V391" s="437"/>
      <c r="W391" s="437"/>
      <c r="X391" s="437"/>
      <c r="Y391" s="437"/>
      <c r="Z391" s="426">
        <f ca="1" t="shared" si="62"/>
        <v>194.9</v>
      </c>
    </row>
    <row r="392" spans="4:26">
      <c r="D392" s="3">
        <v>155</v>
      </c>
      <c r="E392" s="426">
        <f ca="1" t="shared" si="60"/>
        <v>196</v>
      </c>
      <c r="F392" s="436">
        <v>1.07</v>
      </c>
      <c r="G392" s="436"/>
      <c r="H392" s="427">
        <f t="shared" si="61"/>
        <v>23010647</v>
      </c>
      <c r="I392" s="428">
        <f t="shared" si="59"/>
        <v>0</v>
      </c>
      <c r="J392" s="437"/>
      <c r="K392" s="437"/>
      <c r="L392" s="437"/>
      <c r="M392" s="437"/>
      <c r="N392" s="437"/>
      <c r="O392" s="437"/>
      <c r="P392" s="437"/>
      <c r="Q392" s="437"/>
      <c r="R392" s="437"/>
      <c r="S392" s="437"/>
      <c r="T392" s="437"/>
      <c r="U392" s="437"/>
      <c r="V392" s="437"/>
      <c r="W392" s="437"/>
      <c r="X392" s="437"/>
      <c r="Y392" s="437"/>
      <c r="Z392" s="426">
        <f ca="1" t="shared" si="62"/>
        <v>196.9</v>
      </c>
    </row>
    <row r="393" spans="4:26">
      <c r="D393" s="3">
        <v>156</v>
      </c>
      <c r="E393" s="426">
        <f ca="1" t="shared" si="60"/>
        <v>198</v>
      </c>
      <c r="F393" s="436">
        <v>1.07</v>
      </c>
      <c r="G393" s="436"/>
      <c r="H393" s="427">
        <f t="shared" si="61"/>
        <v>24621392</v>
      </c>
      <c r="I393" s="428">
        <f t="shared" si="59"/>
        <v>0</v>
      </c>
      <c r="J393" s="437"/>
      <c r="K393" s="437"/>
      <c r="L393" s="437"/>
      <c r="M393" s="437"/>
      <c r="N393" s="437"/>
      <c r="O393" s="437"/>
      <c r="P393" s="437"/>
      <c r="Q393" s="437"/>
      <c r="R393" s="437"/>
      <c r="S393" s="437"/>
      <c r="T393" s="437"/>
      <c r="U393" s="437"/>
      <c r="V393" s="437"/>
      <c r="W393" s="437"/>
      <c r="X393" s="437"/>
      <c r="Y393" s="437"/>
      <c r="Z393" s="426">
        <f ca="1" t="shared" si="62"/>
        <v>198.9</v>
      </c>
    </row>
    <row r="394" spans="4:26">
      <c r="D394" s="3">
        <v>157</v>
      </c>
      <c r="E394" s="426">
        <f ca="1" t="shared" si="60"/>
        <v>200</v>
      </c>
      <c r="F394" s="436">
        <v>1.07</v>
      </c>
      <c r="G394" s="436"/>
      <c r="H394" s="427">
        <f t="shared" si="61"/>
        <v>26344889</v>
      </c>
      <c r="I394" s="428">
        <f t="shared" si="59"/>
        <v>0</v>
      </c>
      <c r="J394" s="437"/>
      <c r="K394" s="437"/>
      <c r="L394" s="437"/>
      <c r="M394" s="437"/>
      <c r="N394" s="437"/>
      <c r="O394" s="437"/>
      <c r="P394" s="437"/>
      <c r="Q394" s="437"/>
      <c r="R394" s="437"/>
      <c r="S394" s="437"/>
      <c r="T394" s="437"/>
      <c r="U394" s="437"/>
      <c r="V394" s="437"/>
      <c r="W394" s="437"/>
      <c r="X394" s="437"/>
      <c r="Y394" s="437"/>
      <c r="Z394" s="426">
        <f ca="1" t="shared" si="62"/>
        <v>200.9</v>
      </c>
    </row>
    <row r="395" spans="4:26">
      <c r="D395" s="3">
        <v>158</v>
      </c>
      <c r="E395" s="426">
        <f ca="1" t="shared" si="60"/>
        <v>202</v>
      </c>
      <c r="F395" s="436">
        <v>1.07</v>
      </c>
      <c r="G395" s="436"/>
      <c r="H395" s="427">
        <f t="shared" si="61"/>
        <v>28189031</v>
      </c>
      <c r="I395" s="428">
        <f t="shared" si="59"/>
        <v>0</v>
      </c>
      <c r="J395" s="437"/>
      <c r="K395" s="437"/>
      <c r="L395" s="437"/>
      <c r="M395" s="437"/>
      <c r="N395" s="437"/>
      <c r="O395" s="437"/>
      <c r="P395" s="437"/>
      <c r="Q395" s="437"/>
      <c r="R395" s="437"/>
      <c r="S395" s="437"/>
      <c r="T395" s="437"/>
      <c r="U395" s="437"/>
      <c r="V395" s="437"/>
      <c r="W395" s="437"/>
      <c r="X395" s="437"/>
      <c r="Y395" s="437"/>
      <c r="Z395" s="426">
        <f ca="1" t="shared" si="62"/>
        <v>202.9</v>
      </c>
    </row>
    <row r="396" spans="4:26">
      <c r="D396" s="3">
        <v>159</v>
      </c>
      <c r="E396" s="426">
        <f ca="1" t="shared" si="60"/>
        <v>204</v>
      </c>
      <c r="F396" s="436">
        <v>1.07</v>
      </c>
      <c r="G396" s="436"/>
      <c r="H396" s="427">
        <f t="shared" si="61"/>
        <v>30162263</v>
      </c>
      <c r="I396" s="428">
        <f t="shared" si="59"/>
        <v>0</v>
      </c>
      <c r="J396" s="437"/>
      <c r="K396" s="437"/>
      <c r="L396" s="437"/>
      <c r="M396" s="437"/>
      <c r="N396" s="437"/>
      <c r="O396" s="437"/>
      <c r="P396" s="437"/>
      <c r="Q396" s="437"/>
      <c r="R396" s="437"/>
      <c r="S396" s="437"/>
      <c r="T396" s="437"/>
      <c r="U396" s="437"/>
      <c r="V396" s="437"/>
      <c r="W396" s="437"/>
      <c r="X396" s="437"/>
      <c r="Y396" s="437"/>
      <c r="Z396" s="426">
        <f ca="1" t="shared" si="62"/>
        <v>204.9</v>
      </c>
    </row>
    <row r="397" spans="4:26">
      <c r="D397" s="3">
        <v>160</v>
      </c>
      <c r="E397" s="426">
        <f ca="1" t="shared" si="60"/>
        <v>206</v>
      </c>
      <c r="F397" s="436">
        <v>1.07</v>
      </c>
      <c r="G397" s="436"/>
      <c r="H397" s="427">
        <f t="shared" si="61"/>
        <v>32273621</v>
      </c>
      <c r="I397" s="428">
        <f t="shared" si="59"/>
        <v>0</v>
      </c>
      <c r="J397" s="437"/>
      <c r="K397" s="437"/>
      <c r="L397" s="437"/>
      <c r="M397" s="437"/>
      <c r="N397" s="437"/>
      <c r="O397" s="437"/>
      <c r="P397" s="437"/>
      <c r="Q397" s="437"/>
      <c r="R397" s="437"/>
      <c r="S397" s="437"/>
      <c r="T397" s="437"/>
      <c r="U397" s="437"/>
      <c r="V397" s="437"/>
      <c r="W397" s="437"/>
      <c r="X397" s="437"/>
      <c r="Y397" s="437"/>
      <c r="Z397" s="426">
        <f ca="1" t="shared" si="62"/>
        <v>206.9</v>
      </c>
    </row>
    <row r="398" spans="4:26">
      <c r="D398" s="3">
        <v>161</v>
      </c>
      <c r="E398" s="426">
        <f ca="1" t="shared" si="60"/>
        <v>208</v>
      </c>
      <c r="F398" s="436">
        <v>1.07</v>
      </c>
      <c r="G398" s="436"/>
      <c r="H398" s="427">
        <f t="shared" si="61"/>
        <v>34532774</v>
      </c>
      <c r="I398" s="428">
        <f t="shared" si="59"/>
        <v>0</v>
      </c>
      <c r="J398" s="437"/>
      <c r="K398" s="437"/>
      <c r="L398" s="437"/>
      <c r="M398" s="437"/>
      <c r="N398" s="437"/>
      <c r="O398" s="437"/>
      <c r="P398" s="437"/>
      <c r="Q398" s="437"/>
      <c r="R398" s="437"/>
      <c r="S398" s="437"/>
      <c r="T398" s="437"/>
      <c r="U398" s="437"/>
      <c r="V398" s="437"/>
      <c r="W398" s="437"/>
      <c r="X398" s="437"/>
      <c r="Y398" s="437"/>
      <c r="Z398" s="426">
        <f ca="1" t="shared" si="62"/>
        <v>208.9</v>
      </c>
    </row>
    <row r="399" spans="4:26">
      <c r="D399" s="3">
        <v>162</v>
      </c>
      <c r="E399" s="426">
        <f ca="1" t="shared" si="60"/>
        <v>210</v>
      </c>
      <c r="F399" s="436">
        <v>1.07</v>
      </c>
      <c r="G399" s="436"/>
      <c r="H399" s="427">
        <f t="shared" si="61"/>
        <v>36950068</v>
      </c>
      <c r="I399" s="428">
        <f t="shared" si="59"/>
        <v>0</v>
      </c>
      <c r="J399" s="437"/>
      <c r="K399" s="437"/>
      <c r="L399" s="437"/>
      <c r="M399" s="437"/>
      <c r="N399" s="437"/>
      <c r="O399" s="437"/>
      <c r="P399" s="437"/>
      <c r="Q399" s="437"/>
      <c r="R399" s="437"/>
      <c r="S399" s="437"/>
      <c r="T399" s="437"/>
      <c r="U399" s="437"/>
      <c r="V399" s="437"/>
      <c r="W399" s="437"/>
      <c r="X399" s="437"/>
      <c r="Y399" s="437"/>
      <c r="Z399" s="426">
        <f ca="1" t="shared" si="62"/>
        <v>210.9</v>
      </c>
    </row>
    <row r="400" spans="4:26">
      <c r="D400" s="3">
        <v>163</v>
      </c>
      <c r="E400" s="426">
        <f ca="1" t="shared" si="60"/>
        <v>212</v>
      </c>
      <c r="F400" s="436">
        <v>1.07</v>
      </c>
      <c r="G400" s="436"/>
      <c r="H400" s="427">
        <f t="shared" si="61"/>
        <v>39536572</v>
      </c>
      <c r="I400" s="428">
        <f t="shared" si="59"/>
        <v>0</v>
      </c>
      <c r="J400" s="437"/>
      <c r="K400" s="437"/>
      <c r="L400" s="437"/>
      <c r="M400" s="437"/>
      <c r="N400" s="437"/>
      <c r="O400" s="437"/>
      <c r="P400" s="437"/>
      <c r="Q400" s="437"/>
      <c r="R400" s="437"/>
      <c r="S400" s="437"/>
      <c r="T400" s="437"/>
      <c r="U400" s="437"/>
      <c r="V400" s="437"/>
      <c r="W400" s="437"/>
      <c r="X400" s="437"/>
      <c r="Y400" s="437"/>
      <c r="Z400" s="426">
        <f ca="1" t="shared" si="62"/>
        <v>212.9</v>
      </c>
    </row>
    <row r="401" spans="4:26">
      <c r="D401" s="3">
        <v>164</v>
      </c>
      <c r="E401" s="426">
        <f ca="1" t="shared" si="60"/>
        <v>214</v>
      </c>
      <c r="F401" s="436">
        <v>1.07</v>
      </c>
      <c r="G401" s="436"/>
      <c r="H401" s="427">
        <f t="shared" si="61"/>
        <v>42304132</v>
      </c>
      <c r="I401" s="428">
        <f t="shared" si="59"/>
        <v>0</v>
      </c>
      <c r="J401" s="437"/>
      <c r="K401" s="437"/>
      <c r="L401" s="437"/>
      <c r="M401" s="437"/>
      <c r="N401" s="437"/>
      <c r="O401" s="437"/>
      <c r="P401" s="437"/>
      <c r="Q401" s="437"/>
      <c r="R401" s="437"/>
      <c r="S401" s="437"/>
      <c r="T401" s="437"/>
      <c r="U401" s="437"/>
      <c r="V401" s="437"/>
      <c r="W401" s="437"/>
      <c r="X401" s="437"/>
      <c r="Y401" s="437"/>
      <c r="Z401" s="426">
        <f ca="1" t="shared" si="62"/>
        <v>214.9</v>
      </c>
    </row>
    <row r="402" spans="4:26">
      <c r="D402" s="3">
        <v>165</v>
      </c>
      <c r="E402" s="426">
        <f ca="1" t="shared" si="60"/>
        <v>216</v>
      </c>
      <c r="F402" s="436">
        <v>1.07</v>
      </c>
      <c r="G402" s="436"/>
      <c r="H402" s="427">
        <f t="shared" si="61"/>
        <v>45265421</v>
      </c>
      <c r="I402" s="428">
        <f t="shared" si="59"/>
        <v>0</v>
      </c>
      <c r="J402" s="437"/>
      <c r="K402" s="437"/>
      <c r="L402" s="437"/>
      <c r="M402" s="437"/>
      <c r="N402" s="437"/>
      <c r="O402" s="437"/>
      <c r="P402" s="437"/>
      <c r="Q402" s="437"/>
      <c r="R402" s="437"/>
      <c r="S402" s="437"/>
      <c r="T402" s="437"/>
      <c r="U402" s="437"/>
      <c r="V402" s="437"/>
      <c r="W402" s="437"/>
      <c r="X402" s="437"/>
      <c r="Y402" s="437"/>
      <c r="Z402" s="426">
        <f ca="1" t="shared" si="62"/>
        <v>216.9</v>
      </c>
    </row>
    <row r="403" spans="4:26">
      <c r="D403" s="3">
        <v>166</v>
      </c>
      <c r="E403" s="426">
        <f ca="1" t="shared" si="60"/>
        <v>218</v>
      </c>
      <c r="F403" s="436">
        <v>1.07</v>
      </c>
      <c r="G403" s="436"/>
      <c r="H403" s="427">
        <f t="shared" si="61"/>
        <v>48434000</v>
      </c>
      <c r="I403" s="428">
        <f t="shared" si="59"/>
        <v>0</v>
      </c>
      <c r="J403" s="437"/>
      <c r="K403" s="437"/>
      <c r="L403" s="437"/>
      <c r="M403" s="437"/>
      <c r="N403" s="437"/>
      <c r="O403" s="437"/>
      <c r="P403" s="437"/>
      <c r="Q403" s="437"/>
      <c r="R403" s="437"/>
      <c r="S403" s="437"/>
      <c r="T403" s="437"/>
      <c r="U403" s="437"/>
      <c r="V403" s="437"/>
      <c r="W403" s="437"/>
      <c r="X403" s="437"/>
      <c r="Y403" s="437"/>
      <c r="Z403" s="426">
        <f ca="1" t="shared" si="62"/>
        <v>218.9</v>
      </c>
    </row>
    <row r="404" spans="4:26">
      <c r="D404" s="3">
        <v>167</v>
      </c>
      <c r="E404" s="426">
        <f ca="1" t="shared" si="60"/>
        <v>220</v>
      </c>
      <c r="F404" s="436">
        <v>1.07</v>
      </c>
      <c r="G404" s="436"/>
      <c r="H404" s="427">
        <f t="shared" si="61"/>
        <v>51824380</v>
      </c>
      <c r="I404" s="428">
        <f t="shared" si="59"/>
        <v>0</v>
      </c>
      <c r="J404" s="437"/>
      <c r="K404" s="437"/>
      <c r="L404" s="437"/>
      <c r="M404" s="437"/>
      <c r="N404" s="437"/>
      <c r="O404" s="437"/>
      <c r="P404" s="437"/>
      <c r="Q404" s="437"/>
      <c r="R404" s="437"/>
      <c r="S404" s="437"/>
      <c r="T404" s="437"/>
      <c r="U404" s="437"/>
      <c r="V404" s="437"/>
      <c r="W404" s="437"/>
      <c r="X404" s="437"/>
      <c r="Y404" s="437"/>
      <c r="Z404" s="426">
        <f ca="1" t="shared" si="62"/>
        <v>220.9</v>
      </c>
    </row>
    <row r="405" spans="4:26">
      <c r="D405" s="3">
        <v>168</v>
      </c>
      <c r="E405" s="426">
        <f ca="1" t="shared" si="60"/>
        <v>222</v>
      </c>
      <c r="F405" s="436">
        <v>1.07</v>
      </c>
      <c r="G405" s="436"/>
      <c r="H405" s="427">
        <f t="shared" si="61"/>
        <v>55452086</v>
      </c>
      <c r="I405" s="428">
        <f t="shared" si="59"/>
        <v>0</v>
      </c>
      <c r="J405" s="437"/>
      <c r="K405" s="437"/>
      <c r="L405" s="437"/>
      <c r="M405" s="437"/>
      <c r="N405" s="437"/>
      <c r="O405" s="437"/>
      <c r="P405" s="437"/>
      <c r="Q405" s="437"/>
      <c r="R405" s="437"/>
      <c r="S405" s="437"/>
      <c r="T405" s="437"/>
      <c r="U405" s="437"/>
      <c r="V405" s="437"/>
      <c r="W405" s="437"/>
      <c r="X405" s="437"/>
      <c r="Y405" s="437"/>
      <c r="Z405" s="426">
        <f ca="1" t="shared" si="62"/>
        <v>222.9</v>
      </c>
    </row>
    <row r="406" spans="4:26">
      <c r="D406" s="3">
        <v>169</v>
      </c>
      <c r="E406" s="426">
        <f ca="1" t="shared" si="60"/>
        <v>224</v>
      </c>
      <c r="F406" s="436">
        <v>1.07</v>
      </c>
      <c r="G406" s="436"/>
      <c r="H406" s="427">
        <f t="shared" si="61"/>
        <v>59333732</v>
      </c>
      <c r="I406" s="428">
        <f t="shared" si="59"/>
        <v>0</v>
      </c>
      <c r="J406" s="437"/>
      <c r="K406" s="437"/>
      <c r="L406" s="437"/>
      <c r="M406" s="437"/>
      <c r="N406" s="437"/>
      <c r="O406" s="437"/>
      <c r="P406" s="437"/>
      <c r="Q406" s="437"/>
      <c r="R406" s="437"/>
      <c r="S406" s="437"/>
      <c r="T406" s="437"/>
      <c r="U406" s="437"/>
      <c r="V406" s="437"/>
      <c r="W406" s="437"/>
      <c r="X406" s="437"/>
      <c r="Y406" s="437"/>
      <c r="Z406" s="426">
        <f ca="1" t="shared" si="62"/>
        <v>224.9</v>
      </c>
    </row>
    <row r="407" spans="4:26">
      <c r="D407" s="3">
        <v>170</v>
      </c>
      <c r="E407" s="426">
        <f ca="1" t="shared" si="60"/>
        <v>226</v>
      </c>
      <c r="F407" s="436">
        <v>1.07</v>
      </c>
      <c r="G407" s="436"/>
      <c r="H407" s="427">
        <f t="shared" si="61"/>
        <v>63487093</v>
      </c>
      <c r="I407" s="428">
        <f t="shared" si="59"/>
        <v>0</v>
      </c>
      <c r="J407" s="437"/>
      <c r="K407" s="437"/>
      <c r="L407" s="437"/>
      <c r="M407" s="437"/>
      <c r="N407" s="437"/>
      <c r="O407" s="437"/>
      <c r="P407" s="437"/>
      <c r="Q407" s="437"/>
      <c r="R407" s="437"/>
      <c r="S407" s="437"/>
      <c r="T407" s="437"/>
      <c r="U407" s="437"/>
      <c r="V407" s="437"/>
      <c r="W407" s="437"/>
      <c r="X407" s="437"/>
      <c r="Y407" s="437"/>
      <c r="Z407" s="426">
        <f ca="1" t="shared" si="62"/>
        <v>226.9</v>
      </c>
    </row>
    <row r="408" spans="4:26">
      <c r="D408" s="3">
        <v>171</v>
      </c>
      <c r="E408" s="426">
        <f ca="1" t="shared" si="60"/>
        <v>228</v>
      </c>
      <c r="F408" s="436">
        <v>1.07</v>
      </c>
      <c r="G408" s="436"/>
      <c r="H408" s="427">
        <f t="shared" si="61"/>
        <v>67931189</v>
      </c>
      <c r="I408" s="428">
        <f t="shared" si="59"/>
        <v>0</v>
      </c>
      <c r="J408" s="437"/>
      <c r="K408" s="437"/>
      <c r="L408" s="437"/>
      <c r="M408" s="437"/>
      <c r="N408" s="437"/>
      <c r="O408" s="437"/>
      <c r="P408" s="437"/>
      <c r="Q408" s="437"/>
      <c r="R408" s="437"/>
      <c r="S408" s="437"/>
      <c r="T408" s="437"/>
      <c r="U408" s="437"/>
      <c r="V408" s="437"/>
      <c r="W408" s="437"/>
      <c r="X408" s="437"/>
      <c r="Y408" s="437"/>
      <c r="Z408" s="426">
        <f ca="1" t="shared" si="62"/>
        <v>228.9</v>
      </c>
    </row>
    <row r="409" spans="4:26">
      <c r="D409" s="3">
        <v>172</v>
      </c>
      <c r="E409" s="426">
        <f ca="1" t="shared" si="60"/>
        <v>230</v>
      </c>
      <c r="F409" s="436">
        <v>1.07</v>
      </c>
      <c r="G409" s="436"/>
      <c r="H409" s="427">
        <f t="shared" si="61"/>
        <v>72686372</v>
      </c>
      <c r="I409" s="428">
        <f t="shared" si="59"/>
        <v>0</v>
      </c>
      <c r="J409" s="437"/>
      <c r="K409" s="437"/>
      <c r="L409" s="437"/>
      <c r="M409" s="437"/>
      <c r="N409" s="437"/>
      <c r="O409" s="437"/>
      <c r="P409" s="437"/>
      <c r="Q409" s="437"/>
      <c r="R409" s="437"/>
      <c r="S409" s="437"/>
      <c r="T409" s="437"/>
      <c r="U409" s="437"/>
      <c r="V409" s="437"/>
      <c r="W409" s="437"/>
      <c r="X409" s="437"/>
      <c r="Y409" s="437"/>
      <c r="Z409" s="426">
        <f ca="1" t="shared" si="62"/>
        <v>230.9</v>
      </c>
    </row>
    <row r="410" spans="4:26">
      <c r="D410" s="3">
        <v>173</v>
      </c>
      <c r="E410" s="426">
        <f ca="1" t="shared" si="60"/>
        <v>232</v>
      </c>
      <c r="F410" s="436">
        <v>1.07</v>
      </c>
      <c r="G410" s="436"/>
      <c r="H410" s="427">
        <f t="shared" si="61"/>
        <v>77774418</v>
      </c>
      <c r="I410" s="428">
        <f t="shared" si="59"/>
        <v>0</v>
      </c>
      <c r="J410" s="437"/>
      <c r="K410" s="437"/>
      <c r="L410" s="437"/>
      <c r="M410" s="437"/>
      <c r="N410" s="437"/>
      <c r="O410" s="437"/>
      <c r="P410" s="437"/>
      <c r="Q410" s="437"/>
      <c r="R410" s="437"/>
      <c r="S410" s="437"/>
      <c r="T410" s="437"/>
      <c r="U410" s="437"/>
      <c r="V410" s="437"/>
      <c r="W410" s="437"/>
      <c r="X410" s="437"/>
      <c r="Y410" s="437"/>
      <c r="Z410" s="426">
        <f ca="1" t="shared" si="62"/>
        <v>232.9</v>
      </c>
    </row>
    <row r="411" spans="4:26">
      <c r="D411" s="3">
        <v>174</v>
      </c>
      <c r="E411" s="426">
        <f ca="1" t="shared" si="60"/>
        <v>234</v>
      </c>
      <c r="F411" s="436">
        <v>1.07</v>
      </c>
      <c r="G411" s="436"/>
      <c r="H411" s="427">
        <f t="shared" si="61"/>
        <v>83218627</v>
      </c>
      <c r="I411" s="428">
        <f t="shared" si="59"/>
        <v>0</v>
      </c>
      <c r="J411" s="437"/>
      <c r="K411" s="437"/>
      <c r="L411" s="437"/>
      <c r="M411" s="437"/>
      <c r="N411" s="437"/>
      <c r="O411" s="437"/>
      <c r="P411" s="437"/>
      <c r="Q411" s="437"/>
      <c r="R411" s="437"/>
      <c r="S411" s="437"/>
      <c r="T411" s="437"/>
      <c r="U411" s="437"/>
      <c r="V411" s="437"/>
      <c r="W411" s="437"/>
      <c r="X411" s="437"/>
      <c r="Y411" s="437"/>
      <c r="Z411" s="426">
        <f ca="1" t="shared" si="62"/>
        <v>234.9</v>
      </c>
    </row>
    <row r="412" spans="4:26">
      <c r="D412" s="3">
        <v>175</v>
      </c>
      <c r="E412" s="426">
        <f ca="1" t="shared" si="60"/>
        <v>236</v>
      </c>
      <c r="F412" s="436">
        <v>1.07</v>
      </c>
      <c r="G412" s="436"/>
      <c r="H412" s="427">
        <f t="shared" si="61"/>
        <v>89043930</v>
      </c>
      <c r="I412" s="428">
        <f t="shared" si="59"/>
        <v>0</v>
      </c>
      <c r="J412" s="437"/>
      <c r="K412" s="437"/>
      <c r="L412" s="437"/>
      <c r="M412" s="437"/>
      <c r="N412" s="437"/>
      <c r="O412" s="437"/>
      <c r="P412" s="437"/>
      <c r="Q412" s="437"/>
      <c r="R412" s="437"/>
      <c r="S412" s="437"/>
      <c r="T412" s="437"/>
      <c r="U412" s="437"/>
      <c r="V412" s="437"/>
      <c r="W412" s="437"/>
      <c r="X412" s="437"/>
      <c r="Y412" s="437"/>
      <c r="Z412" s="426">
        <f ca="1" t="shared" si="62"/>
        <v>236.9</v>
      </c>
    </row>
    <row r="413" spans="4:26">
      <c r="D413" s="3">
        <v>176</v>
      </c>
      <c r="E413" s="426">
        <f ca="1" t="shared" si="60"/>
        <v>238</v>
      </c>
      <c r="F413" s="436">
        <v>1.07</v>
      </c>
      <c r="G413" s="436"/>
      <c r="H413" s="427">
        <f t="shared" si="61"/>
        <v>95277005</v>
      </c>
      <c r="I413" s="428">
        <f t="shared" si="59"/>
        <v>0</v>
      </c>
      <c r="J413" s="437"/>
      <c r="K413" s="437"/>
      <c r="L413" s="437"/>
      <c r="M413" s="437"/>
      <c r="N413" s="437"/>
      <c r="O413" s="437"/>
      <c r="P413" s="437"/>
      <c r="Q413" s="437"/>
      <c r="R413" s="437"/>
      <c r="S413" s="437"/>
      <c r="T413" s="437"/>
      <c r="U413" s="437"/>
      <c r="V413" s="437"/>
      <c r="W413" s="437"/>
      <c r="X413" s="437"/>
      <c r="Y413" s="437"/>
      <c r="Z413" s="426">
        <f ca="1" t="shared" si="62"/>
        <v>238.9</v>
      </c>
    </row>
    <row r="414" spans="4:26">
      <c r="D414" s="3">
        <v>177</v>
      </c>
      <c r="E414" s="426">
        <f ca="1" t="shared" si="60"/>
        <v>240</v>
      </c>
      <c r="F414" s="436">
        <v>1.07</v>
      </c>
      <c r="G414" s="436"/>
      <c r="H414" s="427">
        <f t="shared" si="61"/>
        <v>101946395</v>
      </c>
      <c r="I414" s="428">
        <f t="shared" si="59"/>
        <v>0</v>
      </c>
      <c r="J414" s="437"/>
      <c r="K414" s="437"/>
      <c r="L414" s="437"/>
      <c r="M414" s="437"/>
      <c r="N414" s="437"/>
      <c r="O414" s="437"/>
      <c r="P414" s="437"/>
      <c r="Q414" s="437"/>
      <c r="R414" s="437"/>
      <c r="S414" s="437"/>
      <c r="T414" s="437"/>
      <c r="U414" s="437"/>
      <c r="V414" s="437"/>
      <c r="W414" s="437"/>
      <c r="X414" s="437"/>
      <c r="Y414" s="437"/>
      <c r="Z414" s="426">
        <f ca="1" t="shared" si="62"/>
        <v>240.9</v>
      </c>
    </row>
    <row r="415" spans="4:26">
      <c r="D415" s="3">
        <v>178</v>
      </c>
      <c r="E415" s="426">
        <f ca="1" t="shared" si="60"/>
        <v>242</v>
      </c>
      <c r="F415" s="436">
        <v>1.07</v>
      </c>
      <c r="G415" s="436"/>
      <c r="H415" s="427">
        <f t="shared" si="61"/>
        <v>109082642</v>
      </c>
      <c r="I415" s="428">
        <f t="shared" si="59"/>
        <v>0</v>
      </c>
      <c r="J415" s="437"/>
      <c r="K415" s="437"/>
      <c r="L415" s="437"/>
      <c r="M415" s="437"/>
      <c r="N415" s="437"/>
      <c r="O415" s="437"/>
      <c r="P415" s="437"/>
      <c r="Q415" s="437"/>
      <c r="R415" s="437"/>
      <c r="S415" s="437"/>
      <c r="T415" s="437"/>
      <c r="U415" s="437"/>
      <c r="V415" s="437"/>
      <c r="W415" s="437"/>
      <c r="X415" s="437"/>
      <c r="Y415" s="437"/>
      <c r="Z415" s="426">
        <f ca="1" t="shared" si="62"/>
        <v>242.9</v>
      </c>
    </row>
    <row r="416" spans="4:26">
      <c r="D416" s="3">
        <v>179</v>
      </c>
      <c r="E416" s="426">
        <f ca="1" t="shared" si="60"/>
        <v>244</v>
      </c>
      <c r="F416" s="436">
        <v>1.07</v>
      </c>
      <c r="G416" s="436"/>
      <c r="H416" s="427">
        <f t="shared" si="61"/>
        <v>116718426</v>
      </c>
      <c r="I416" s="428">
        <f t="shared" si="59"/>
        <v>0</v>
      </c>
      <c r="J416" s="437"/>
      <c r="K416" s="437"/>
      <c r="L416" s="437"/>
      <c r="M416" s="437"/>
      <c r="N416" s="437"/>
      <c r="O416" s="437"/>
      <c r="P416" s="437"/>
      <c r="Q416" s="437"/>
      <c r="R416" s="437"/>
      <c r="S416" s="437"/>
      <c r="T416" s="437"/>
      <c r="U416" s="437"/>
      <c r="V416" s="437"/>
      <c r="W416" s="437"/>
      <c r="X416" s="437"/>
      <c r="Y416" s="437"/>
      <c r="Z416" s="426">
        <f ca="1" t="shared" si="62"/>
        <v>244.9</v>
      </c>
    </row>
    <row r="417" spans="4:26">
      <c r="D417" s="3">
        <v>180</v>
      </c>
      <c r="E417" s="426">
        <f ca="1" t="shared" si="60"/>
        <v>246</v>
      </c>
      <c r="F417" s="436">
        <v>1.07</v>
      </c>
      <c r="G417" s="436"/>
      <c r="H417" s="427">
        <f t="shared" si="61"/>
        <v>124888715</v>
      </c>
      <c r="I417" s="428">
        <f t="shared" si="59"/>
        <v>0</v>
      </c>
      <c r="J417" s="437"/>
      <c r="K417" s="437"/>
      <c r="L417" s="437"/>
      <c r="M417" s="437"/>
      <c r="N417" s="437"/>
      <c r="O417" s="437"/>
      <c r="P417" s="437"/>
      <c r="Q417" s="437"/>
      <c r="R417" s="437"/>
      <c r="S417" s="437"/>
      <c r="T417" s="437"/>
      <c r="U417" s="437"/>
      <c r="V417" s="437"/>
      <c r="W417" s="437"/>
      <c r="X417" s="437"/>
      <c r="Y417" s="437"/>
      <c r="Z417" s="426">
        <f ca="1" t="shared" si="62"/>
        <v>246.9</v>
      </c>
    </row>
    <row r="418" spans="4:26">
      <c r="D418" s="3">
        <v>181</v>
      </c>
      <c r="E418" s="426">
        <f ca="1" t="shared" si="60"/>
        <v>248</v>
      </c>
      <c r="F418" s="436">
        <v>1.07</v>
      </c>
      <c r="G418" s="436"/>
      <c r="H418" s="427">
        <f t="shared" si="61"/>
        <v>133630925</v>
      </c>
      <c r="I418" s="428">
        <f t="shared" si="59"/>
        <v>0</v>
      </c>
      <c r="J418" s="437"/>
      <c r="K418" s="437"/>
      <c r="L418" s="437"/>
      <c r="M418" s="437"/>
      <c r="N418" s="437"/>
      <c r="O418" s="437"/>
      <c r="P418" s="437"/>
      <c r="Q418" s="437"/>
      <c r="R418" s="437"/>
      <c r="S418" s="437"/>
      <c r="T418" s="437"/>
      <c r="U418" s="437"/>
      <c r="V418" s="437"/>
      <c r="W418" s="437"/>
      <c r="X418" s="437"/>
      <c r="Y418" s="437"/>
      <c r="Z418" s="426">
        <f ca="1" t="shared" si="62"/>
        <v>248.9</v>
      </c>
    </row>
    <row r="419" spans="4:26">
      <c r="D419" s="3">
        <v>182</v>
      </c>
      <c r="E419" s="426">
        <f ca="1" t="shared" si="60"/>
        <v>250</v>
      </c>
      <c r="F419" s="436">
        <v>1.07</v>
      </c>
      <c r="G419" s="436"/>
      <c r="H419" s="427">
        <f t="shared" si="61"/>
        <v>142985089</v>
      </c>
      <c r="I419" s="428">
        <f t="shared" si="59"/>
        <v>0</v>
      </c>
      <c r="J419" s="437"/>
      <c r="K419" s="437"/>
      <c r="L419" s="437"/>
      <c r="M419" s="437"/>
      <c r="N419" s="437"/>
      <c r="O419" s="437"/>
      <c r="P419" s="437"/>
      <c r="Q419" s="437"/>
      <c r="R419" s="437"/>
      <c r="S419" s="437"/>
      <c r="T419" s="437"/>
      <c r="U419" s="437"/>
      <c r="V419" s="437"/>
      <c r="W419" s="437"/>
      <c r="X419" s="437"/>
      <c r="Y419" s="437"/>
      <c r="Z419" s="426">
        <f ca="1" t="shared" si="62"/>
        <v>250.9</v>
      </c>
    </row>
    <row r="420" spans="4:26">
      <c r="D420" s="3">
        <v>183</v>
      </c>
      <c r="E420" s="426">
        <f ca="1" t="shared" si="60"/>
        <v>253</v>
      </c>
      <c r="F420" s="436">
        <v>1.07</v>
      </c>
      <c r="G420" s="436"/>
      <c r="H420" s="427">
        <f t="shared" si="61"/>
        <v>152994045</v>
      </c>
      <c r="I420" s="428">
        <f t="shared" si="59"/>
        <v>0</v>
      </c>
      <c r="J420" s="437"/>
      <c r="K420" s="437"/>
      <c r="L420" s="437"/>
      <c r="M420" s="437"/>
      <c r="N420" s="437"/>
      <c r="O420" s="437"/>
      <c r="P420" s="437"/>
      <c r="Q420" s="437"/>
      <c r="R420" s="437"/>
      <c r="S420" s="437"/>
      <c r="T420" s="437"/>
      <c r="U420" s="437"/>
      <c r="V420" s="437"/>
      <c r="W420" s="437"/>
      <c r="X420" s="437"/>
      <c r="Y420" s="437"/>
      <c r="Z420" s="426">
        <f ca="1" t="shared" si="62"/>
        <v>253.930303030303</v>
      </c>
    </row>
    <row r="421" spans="4:26">
      <c r="D421" s="3">
        <v>184</v>
      </c>
      <c r="E421" s="426">
        <f ca="1" t="shared" si="60"/>
        <v>256</v>
      </c>
      <c r="F421" s="436">
        <v>1.07</v>
      </c>
      <c r="G421" s="436"/>
      <c r="H421" s="427">
        <f t="shared" si="61"/>
        <v>163703628</v>
      </c>
      <c r="I421" s="428">
        <f t="shared" si="59"/>
        <v>0</v>
      </c>
      <c r="J421" s="437"/>
      <c r="K421" s="437"/>
      <c r="L421" s="437"/>
      <c r="M421" s="437"/>
      <c r="N421" s="437"/>
      <c r="O421" s="437"/>
      <c r="P421" s="437"/>
      <c r="Q421" s="437"/>
      <c r="R421" s="437"/>
      <c r="S421" s="437"/>
      <c r="T421" s="437"/>
      <c r="U421" s="437"/>
      <c r="V421" s="437"/>
      <c r="W421" s="437"/>
      <c r="X421" s="437"/>
      <c r="Y421" s="437"/>
      <c r="Z421" s="426">
        <f ca="1" t="shared" si="62"/>
        <v>256.960606060606</v>
      </c>
    </row>
    <row r="422" spans="4:26">
      <c r="D422" s="3">
        <v>185</v>
      </c>
      <c r="E422" s="426">
        <f ca="1" t="shared" si="60"/>
        <v>259</v>
      </c>
      <c r="F422" s="436">
        <v>1.07</v>
      </c>
      <c r="G422" s="436"/>
      <c r="H422" s="427">
        <f t="shared" si="61"/>
        <v>175162881</v>
      </c>
      <c r="I422" s="428">
        <f t="shared" si="59"/>
        <v>0</v>
      </c>
      <c r="J422" s="437"/>
      <c r="K422" s="437"/>
      <c r="L422" s="437"/>
      <c r="M422" s="437"/>
      <c r="N422" s="437"/>
      <c r="O422" s="437"/>
      <c r="P422" s="437"/>
      <c r="Q422" s="437"/>
      <c r="R422" s="437"/>
      <c r="S422" s="437"/>
      <c r="T422" s="437"/>
      <c r="U422" s="437"/>
      <c r="V422" s="437"/>
      <c r="W422" s="437"/>
      <c r="X422" s="437"/>
      <c r="Y422" s="437"/>
      <c r="Z422" s="426">
        <f ca="1" t="shared" si="62"/>
        <v>259.990909090909</v>
      </c>
    </row>
    <row r="423" spans="4:26">
      <c r="D423" s="3">
        <v>186</v>
      </c>
      <c r="E423" s="426">
        <f ca="1" t="shared" si="60"/>
        <v>263</v>
      </c>
      <c r="F423" s="436">
        <v>1.07</v>
      </c>
      <c r="G423" s="436"/>
      <c r="H423" s="427">
        <f t="shared" si="61"/>
        <v>187424282</v>
      </c>
      <c r="I423" s="428">
        <f t="shared" si="59"/>
        <v>0</v>
      </c>
      <c r="J423" s="437"/>
      <c r="K423" s="437"/>
      <c r="L423" s="437"/>
      <c r="M423" s="437"/>
      <c r="N423" s="437"/>
      <c r="O423" s="437"/>
      <c r="P423" s="437"/>
      <c r="Q423" s="437"/>
      <c r="R423" s="437"/>
      <c r="S423" s="437"/>
      <c r="T423" s="437"/>
      <c r="U423" s="437"/>
      <c r="V423" s="437"/>
      <c r="W423" s="437"/>
      <c r="X423" s="437"/>
      <c r="Y423" s="437"/>
      <c r="Z423" s="426">
        <f ca="1" t="shared" si="62"/>
        <v>263.021212121212</v>
      </c>
    </row>
    <row r="424" spans="4:26">
      <c r="D424" s="3">
        <v>187</v>
      </c>
      <c r="E424" s="426">
        <f ca="1" t="shared" si="60"/>
        <v>266</v>
      </c>
      <c r="F424" s="436">
        <v>1.07</v>
      </c>
      <c r="G424" s="436"/>
      <c r="H424" s="427">
        <f t="shared" si="61"/>
        <v>200543981</v>
      </c>
      <c r="I424" s="428">
        <f t="shared" si="59"/>
        <v>0</v>
      </c>
      <c r="J424" s="437"/>
      <c r="K424" s="437"/>
      <c r="L424" s="437"/>
      <c r="M424" s="437"/>
      <c r="N424" s="437"/>
      <c r="O424" s="437"/>
      <c r="P424" s="437"/>
      <c r="Q424" s="437"/>
      <c r="R424" s="437"/>
      <c r="S424" s="437"/>
      <c r="T424" s="437"/>
      <c r="U424" s="437"/>
      <c r="V424" s="437"/>
      <c r="W424" s="437"/>
      <c r="X424" s="437"/>
      <c r="Y424" s="437"/>
      <c r="Z424" s="426">
        <f ca="1" t="shared" si="62"/>
        <v>266.051515151515</v>
      </c>
    </row>
    <row r="425" spans="4:26">
      <c r="D425" s="3">
        <v>188</v>
      </c>
      <c r="E425" s="426">
        <f ca="1" t="shared" si="60"/>
        <v>269</v>
      </c>
      <c r="F425" s="436">
        <v>1.07</v>
      </c>
      <c r="G425" s="436"/>
      <c r="H425" s="427">
        <f t="shared" si="61"/>
        <v>214582059</v>
      </c>
      <c r="I425" s="428">
        <f t="shared" si="59"/>
        <v>0</v>
      </c>
      <c r="J425" s="437"/>
      <c r="K425" s="437"/>
      <c r="L425" s="437"/>
      <c r="M425" s="437"/>
      <c r="N425" s="437"/>
      <c r="O425" s="437"/>
      <c r="P425" s="437"/>
      <c r="Q425" s="437"/>
      <c r="R425" s="437"/>
      <c r="S425" s="437"/>
      <c r="T425" s="437"/>
      <c r="U425" s="437"/>
      <c r="V425" s="437"/>
      <c r="W425" s="437"/>
      <c r="X425" s="437"/>
      <c r="Y425" s="437"/>
      <c r="Z425" s="426">
        <f ca="1" t="shared" si="62"/>
        <v>269.081818181818</v>
      </c>
    </row>
    <row r="426" spans="4:26">
      <c r="D426" s="3">
        <v>189</v>
      </c>
      <c r="E426" s="426">
        <f ca="1" t="shared" si="60"/>
        <v>272</v>
      </c>
      <c r="F426" s="436">
        <v>1.07</v>
      </c>
      <c r="G426" s="436"/>
      <c r="H426" s="427">
        <f t="shared" si="61"/>
        <v>229602803</v>
      </c>
      <c r="I426" s="428">
        <f t="shared" si="59"/>
        <v>0</v>
      </c>
      <c r="J426" s="437"/>
      <c r="K426" s="437"/>
      <c r="L426" s="437"/>
      <c r="M426" s="437"/>
      <c r="N426" s="437"/>
      <c r="O426" s="437"/>
      <c r="P426" s="437"/>
      <c r="Q426" s="437"/>
      <c r="R426" s="437"/>
      <c r="S426" s="437"/>
      <c r="T426" s="437"/>
      <c r="U426" s="437"/>
      <c r="V426" s="437"/>
      <c r="W426" s="437"/>
      <c r="X426" s="437"/>
      <c r="Y426" s="437"/>
      <c r="Z426" s="426">
        <f ca="1" t="shared" si="62"/>
        <v>272.112121212121</v>
      </c>
    </row>
    <row r="427" spans="4:26">
      <c r="D427" s="3">
        <v>190</v>
      </c>
      <c r="E427" s="426">
        <f ca="1" t="shared" si="60"/>
        <v>275</v>
      </c>
      <c r="F427" s="436">
        <v>1.07</v>
      </c>
      <c r="G427" s="436"/>
      <c r="H427" s="427">
        <f t="shared" si="61"/>
        <v>245674999</v>
      </c>
      <c r="I427" s="428">
        <f t="shared" si="59"/>
        <v>0</v>
      </c>
      <c r="J427" s="437"/>
      <c r="K427" s="437"/>
      <c r="L427" s="437"/>
      <c r="M427" s="437"/>
      <c r="N427" s="437"/>
      <c r="O427" s="437"/>
      <c r="P427" s="437"/>
      <c r="Q427" s="437"/>
      <c r="R427" s="437"/>
      <c r="S427" s="437"/>
      <c r="T427" s="437"/>
      <c r="U427" s="437"/>
      <c r="V427" s="437"/>
      <c r="W427" s="437"/>
      <c r="X427" s="437"/>
      <c r="Y427" s="437"/>
      <c r="Z427" s="426">
        <f ca="1" t="shared" si="62"/>
        <v>275.142424242424</v>
      </c>
    </row>
    <row r="428" spans="4:26">
      <c r="D428" s="3">
        <v>191</v>
      </c>
      <c r="E428" s="426">
        <f ca="1" t="shared" si="60"/>
        <v>278</v>
      </c>
      <c r="F428" s="436">
        <v>1.07</v>
      </c>
      <c r="G428" s="436"/>
      <c r="H428" s="427">
        <f t="shared" si="61"/>
        <v>262872248</v>
      </c>
      <c r="I428" s="428">
        <f t="shared" si="59"/>
        <v>0</v>
      </c>
      <c r="J428" s="437"/>
      <c r="K428" s="437"/>
      <c r="L428" s="437"/>
      <c r="M428" s="437"/>
      <c r="N428" s="437"/>
      <c r="O428" s="437"/>
      <c r="P428" s="437"/>
      <c r="Q428" s="437"/>
      <c r="R428" s="437"/>
      <c r="S428" s="437"/>
      <c r="T428" s="437"/>
      <c r="U428" s="437"/>
      <c r="V428" s="437"/>
      <c r="W428" s="437"/>
      <c r="X428" s="437"/>
      <c r="Y428" s="437"/>
      <c r="Z428" s="426">
        <f ca="1" t="shared" si="62"/>
        <v>278.172727272727</v>
      </c>
    </row>
    <row r="429" spans="4:26">
      <c r="D429" s="3">
        <v>192</v>
      </c>
      <c r="E429" s="426">
        <f ca="1" t="shared" si="60"/>
        <v>281</v>
      </c>
      <c r="F429" s="436">
        <v>1.07</v>
      </c>
      <c r="G429" s="436"/>
      <c r="H429" s="427">
        <f t="shared" si="61"/>
        <v>281273305</v>
      </c>
      <c r="I429" s="428">
        <f t="shared" si="59"/>
        <v>0</v>
      </c>
      <c r="J429" s="437"/>
      <c r="K429" s="437"/>
      <c r="L429" s="437"/>
      <c r="M429" s="437"/>
      <c r="N429" s="437"/>
      <c r="O429" s="437"/>
      <c r="P429" s="437"/>
      <c r="Q429" s="437"/>
      <c r="R429" s="437"/>
      <c r="S429" s="437"/>
      <c r="T429" s="437"/>
      <c r="U429" s="437"/>
      <c r="V429" s="437"/>
      <c r="W429" s="437"/>
      <c r="X429" s="437"/>
      <c r="Y429" s="437"/>
      <c r="Z429" s="426">
        <f ca="1" t="shared" si="62"/>
        <v>281.20303030303</v>
      </c>
    </row>
    <row r="430" spans="4:26">
      <c r="D430" s="3">
        <v>193</v>
      </c>
      <c r="E430" s="426">
        <f ca="1" t="shared" si="60"/>
        <v>284</v>
      </c>
      <c r="F430" s="436">
        <v>1.07</v>
      </c>
      <c r="G430" s="436"/>
      <c r="H430" s="427">
        <f t="shared" si="61"/>
        <v>300962436</v>
      </c>
      <c r="I430" s="428">
        <f t="shared" ref="I430:I493" si="63">(J430+Q430)*K430*L430*M430*N430*O430*P430*R430*S430*T430*U430*V430*Y430/H430</f>
        <v>0</v>
      </c>
      <c r="J430" s="437"/>
      <c r="K430" s="437"/>
      <c r="L430" s="437"/>
      <c r="M430" s="437"/>
      <c r="N430" s="437"/>
      <c r="O430" s="437"/>
      <c r="P430" s="437"/>
      <c r="Q430" s="437"/>
      <c r="R430" s="437"/>
      <c r="S430" s="437"/>
      <c r="T430" s="437"/>
      <c r="U430" s="437"/>
      <c r="V430" s="437"/>
      <c r="W430" s="437"/>
      <c r="X430" s="437"/>
      <c r="Y430" s="437"/>
      <c r="Z430" s="426">
        <f ca="1" t="shared" si="62"/>
        <v>284.233333333333</v>
      </c>
    </row>
    <row r="431" spans="4:26">
      <c r="D431" s="3">
        <v>194</v>
      </c>
      <c r="E431" s="426">
        <f ca="1" t="shared" ref="E431:E494" si="64">INT(Z431)</f>
        <v>287</v>
      </c>
      <c r="F431" s="436">
        <v>1.07</v>
      </c>
      <c r="G431" s="436"/>
      <c r="H431" s="427">
        <f t="shared" ref="H431:H494" si="65">INT(H430*F431)</f>
        <v>322029806</v>
      </c>
      <c r="I431" s="428">
        <f t="shared" si="63"/>
        <v>0</v>
      </c>
      <c r="J431" s="437"/>
      <c r="K431" s="437"/>
      <c r="L431" s="437"/>
      <c r="M431" s="437"/>
      <c r="N431" s="437"/>
      <c r="O431" s="437"/>
      <c r="P431" s="437"/>
      <c r="Q431" s="437"/>
      <c r="R431" s="437"/>
      <c r="S431" s="437"/>
      <c r="T431" s="437"/>
      <c r="U431" s="437"/>
      <c r="V431" s="437"/>
      <c r="W431" s="437"/>
      <c r="X431" s="437"/>
      <c r="Y431" s="437"/>
      <c r="Z431" s="426">
        <f ca="1" t="shared" ref="Z431:Z494" si="66">Z430+1/OFFSET($F$63,IFERROR(MATCH(D430,$E$149:$E$181,1)+1,1),0)</f>
        <v>287.263636363636</v>
      </c>
    </row>
    <row r="432" spans="4:26">
      <c r="D432" s="3">
        <v>195</v>
      </c>
      <c r="E432" s="426">
        <f ca="1" t="shared" si="64"/>
        <v>290</v>
      </c>
      <c r="F432" s="436">
        <v>1.07</v>
      </c>
      <c r="G432" s="436"/>
      <c r="H432" s="427">
        <f t="shared" si="65"/>
        <v>344571892</v>
      </c>
      <c r="I432" s="428">
        <f t="shared" si="63"/>
        <v>0</v>
      </c>
      <c r="J432" s="437"/>
      <c r="K432" s="437"/>
      <c r="L432" s="437"/>
      <c r="M432" s="437"/>
      <c r="N432" s="437"/>
      <c r="O432" s="437"/>
      <c r="P432" s="437"/>
      <c r="Q432" s="437"/>
      <c r="R432" s="437"/>
      <c r="S432" s="437"/>
      <c r="T432" s="437"/>
      <c r="U432" s="437"/>
      <c r="V432" s="437"/>
      <c r="W432" s="437"/>
      <c r="X432" s="437"/>
      <c r="Y432" s="437"/>
      <c r="Z432" s="426">
        <f ca="1" t="shared" si="66"/>
        <v>290.293939393939</v>
      </c>
    </row>
    <row r="433" spans="4:26">
      <c r="D433" s="3">
        <v>196</v>
      </c>
      <c r="E433" s="426">
        <f ca="1" t="shared" si="64"/>
        <v>293</v>
      </c>
      <c r="F433" s="436">
        <v>1.07</v>
      </c>
      <c r="G433" s="436"/>
      <c r="H433" s="427">
        <f t="shared" si="65"/>
        <v>368691924</v>
      </c>
      <c r="I433" s="428">
        <f t="shared" si="63"/>
        <v>0</v>
      </c>
      <c r="J433" s="437"/>
      <c r="K433" s="437"/>
      <c r="L433" s="437"/>
      <c r="M433" s="437"/>
      <c r="N433" s="437"/>
      <c r="O433" s="437"/>
      <c r="P433" s="437"/>
      <c r="Q433" s="437"/>
      <c r="R433" s="437"/>
      <c r="S433" s="437"/>
      <c r="T433" s="437"/>
      <c r="U433" s="437"/>
      <c r="V433" s="437"/>
      <c r="W433" s="437"/>
      <c r="X433" s="437"/>
      <c r="Y433" s="437"/>
      <c r="Z433" s="426">
        <f ca="1" t="shared" si="66"/>
        <v>293.324242424242</v>
      </c>
    </row>
    <row r="434" spans="4:26">
      <c r="D434" s="3">
        <v>197</v>
      </c>
      <c r="E434" s="426">
        <f ca="1" t="shared" si="64"/>
        <v>296</v>
      </c>
      <c r="F434" s="436">
        <v>1.07</v>
      </c>
      <c r="G434" s="436"/>
      <c r="H434" s="427">
        <f t="shared" si="65"/>
        <v>394500358</v>
      </c>
      <c r="I434" s="428">
        <f t="shared" si="63"/>
        <v>0</v>
      </c>
      <c r="J434" s="437"/>
      <c r="K434" s="437"/>
      <c r="L434" s="437"/>
      <c r="M434" s="437"/>
      <c r="N434" s="437"/>
      <c r="O434" s="437"/>
      <c r="P434" s="437"/>
      <c r="Q434" s="437"/>
      <c r="R434" s="437"/>
      <c r="S434" s="437"/>
      <c r="T434" s="437"/>
      <c r="U434" s="437"/>
      <c r="V434" s="437"/>
      <c r="W434" s="437"/>
      <c r="X434" s="437"/>
      <c r="Y434" s="437"/>
      <c r="Z434" s="426">
        <f ca="1" t="shared" si="66"/>
        <v>296.354545454545</v>
      </c>
    </row>
    <row r="435" spans="4:26">
      <c r="D435" s="3">
        <v>198</v>
      </c>
      <c r="E435" s="426">
        <f ca="1" t="shared" si="64"/>
        <v>299</v>
      </c>
      <c r="F435" s="436">
        <v>1.07</v>
      </c>
      <c r="G435" s="436"/>
      <c r="H435" s="427">
        <f t="shared" si="65"/>
        <v>422115383</v>
      </c>
      <c r="I435" s="428">
        <f t="shared" si="63"/>
        <v>0</v>
      </c>
      <c r="J435" s="437"/>
      <c r="K435" s="437"/>
      <c r="L435" s="437"/>
      <c r="M435" s="437"/>
      <c r="N435" s="437"/>
      <c r="O435" s="437"/>
      <c r="P435" s="437"/>
      <c r="Q435" s="437"/>
      <c r="R435" s="437"/>
      <c r="S435" s="437"/>
      <c r="T435" s="437"/>
      <c r="U435" s="437"/>
      <c r="V435" s="437"/>
      <c r="W435" s="437"/>
      <c r="X435" s="437"/>
      <c r="Y435" s="437"/>
      <c r="Z435" s="426">
        <f ca="1" t="shared" si="66"/>
        <v>299.384848484848</v>
      </c>
    </row>
    <row r="436" spans="4:26">
      <c r="D436" s="3">
        <v>199</v>
      </c>
      <c r="E436" s="426">
        <f ca="1" t="shared" si="64"/>
        <v>302</v>
      </c>
      <c r="F436" s="436">
        <v>1.07</v>
      </c>
      <c r="G436" s="436"/>
      <c r="H436" s="427">
        <f t="shared" si="65"/>
        <v>451663459</v>
      </c>
      <c r="I436" s="428">
        <f t="shared" si="63"/>
        <v>0</v>
      </c>
      <c r="J436" s="437"/>
      <c r="K436" s="437"/>
      <c r="L436" s="437"/>
      <c r="M436" s="437"/>
      <c r="N436" s="437"/>
      <c r="O436" s="437"/>
      <c r="P436" s="437"/>
      <c r="Q436" s="437"/>
      <c r="R436" s="437"/>
      <c r="S436" s="437"/>
      <c r="T436" s="437"/>
      <c r="U436" s="437"/>
      <c r="V436" s="437"/>
      <c r="W436" s="437"/>
      <c r="X436" s="437"/>
      <c r="Y436" s="437"/>
      <c r="Z436" s="426">
        <f ca="1" t="shared" si="66"/>
        <v>302.415151515151</v>
      </c>
    </row>
    <row r="437" spans="4:26">
      <c r="D437" s="3">
        <v>200</v>
      </c>
      <c r="E437" s="426">
        <f ca="1" t="shared" si="64"/>
        <v>305</v>
      </c>
      <c r="F437" s="436">
        <v>1.07</v>
      </c>
      <c r="G437" s="436"/>
      <c r="H437" s="427">
        <f t="shared" si="65"/>
        <v>483279901</v>
      </c>
      <c r="I437" s="428">
        <f t="shared" si="63"/>
        <v>0</v>
      </c>
      <c r="J437" s="437"/>
      <c r="K437" s="437"/>
      <c r="L437" s="437"/>
      <c r="M437" s="437"/>
      <c r="N437" s="437"/>
      <c r="O437" s="437"/>
      <c r="P437" s="437"/>
      <c r="Q437" s="437"/>
      <c r="R437" s="437"/>
      <c r="S437" s="437"/>
      <c r="T437" s="437"/>
      <c r="U437" s="437"/>
      <c r="V437" s="437"/>
      <c r="W437" s="437"/>
      <c r="X437" s="437"/>
      <c r="Y437" s="437"/>
      <c r="Z437" s="426">
        <f ca="1" t="shared" si="66"/>
        <v>305.445454545454</v>
      </c>
    </row>
    <row r="438" spans="4:26">
      <c r="D438" s="3">
        <v>201</v>
      </c>
      <c r="E438" s="426">
        <f ca="1" t="shared" si="64"/>
        <v>308</v>
      </c>
      <c r="F438" s="436">
        <v>1.07</v>
      </c>
      <c r="G438" s="436"/>
      <c r="H438" s="427">
        <f t="shared" si="65"/>
        <v>517109494</v>
      </c>
      <c r="I438" s="428">
        <f t="shared" si="63"/>
        <v>0</v>
      </c>
      <c r="J438" s="437"/>
      <c r="K438" s="437"/>
      <c r="L438" s="437"/>
      <c r="M438" s="437"/>
      <c r="N438" s="437"/>
      <c r="O438" s="437"/>
      <c r="P438" s="437"/>
      <c r="Q438" s="437"/>
      <c r="R438" s="437"/>
      <c r="S438" s="437"/>
      <c r="T438" s="437"/>
      <c r="U438" s="437"/>
      <c r="V438" s="437"/>
      <c r="W438" s="437"/>
      <c r="X438" s="437"/>
      <c r="Y438" s="437"/>
      <c r="Z438" s="426">
        <f ca="1" t="shared" si="66"/>
        <v>308.475757575757</v>
      </c>
    </row>
    <row r="439" spans="4:26">
      <c r="D439" s="3">
        <v>202</v>
      </c>
      <c r="E439" s="426">
        <f ca="1" t="shared" si="64"/>
        <v>311</v>
      </c>
      <c r="F439" s="436">
        <v>1.07</v>
      </c>
      <c r="G439" s="436"/>
      <c r="H439" s="427">
        <f t="shared" si="65"/>
        <v>553307158</v>
      </c>
      <c r="I439" s="428">
        <f t="shared" si="63"/>
        <v>0</v>
      </c>
      <c r="J439" s="437"/>
      <c r="K439" s="437"/>
      <c r="L439" s="437"/>
      <c r="M439" s="437"/>
      <c r="N439" s="437"/>
      <c r="O439" s="437"/>
      <c r="P439" s="437"/>
      <c r="Q439" s="437"/>
      <c r="R439" s="437"/>
      <c r="S439" s="437"/>
      <c r="T439" s="437"/>
      <c r="U439" s="437"/>
      <c r="V439" s="437"/>
      <c r="W439" s="437"/>
      <c r="X439" s="437"/>
      <c r="Y439" s="437"/>
      <c r="Z439" s="426">
        <f ca="1" t="shared" si="66"/>
        <v>311.50606060606</v>
      </c>
    </row>
    <row r="440" spans="4:26">
      <c r="D440" s="3">
        <v>203</v>
      </c>
      <c r="E440" s="426">
        <f ca="1" t="shared" si="64"/>
        <v>314</v>
      </c>
      <c r="F440" s="436">
        <v>1.07</v>
      </c>
      <c r="G440" s="436"/>
      <c r="H440" s="427">
        <f t="shared" si="65"/>
        <v>592038659</v>
      </c>
      <c r="I440" s="428">
        <f t="shared" si="63"/>
        <v>0</v>
      </c>
      <c r="J440" s="437"/>
      <c r="K440" s="437"/>
      <c r="L440" s="437"/>
      <c r="M440" s="437"/>
      <c r="N440" s="437"/>
      <c r="O440" s="437"/>
      <c r="P440" s="437"/>
      <c r="Q440" s="437"/>
      <c r="R440" s="437"/>
      <c r="S440" s="437"/>
      <c r="T440" s="437"/>
      <c r="U440" s="437"/>
      <c r="V440" s="437"/>
      <c r="W440" s="437"/>
      <c r="X440" s="437"/>
      <c r="Y440" s="437"/>
      <c r="Z440" s="426">
        <f ca="1" t="shared" si="66"/>
        <v>314.536363636363</v>
      </c>
    </row>
    <row r="441" spans="4:26">
      <c r="D441" s="3">
        <v>204</v>
      </c>
      <c r="E441" s="426">
        <f ca="1" t="shared" si="64"/>
        <v>317</v>
      </c>
      <c r="F441" s="436">
        <v>1.07</v>
      </c>
      <c r="G441" s="436"/>
      <c r="H441" s="427">
        <f t="shared" si="65"/>
        <v>633481365</v>
      </c>
      <c r="I441" s="428">
        <f t="shared" si="63"/>
        <v>0</v>
      </c>
      <c r="J441" s="437"/>
      <c r="K441" s="437"/>
      <c r="L441" s="437"/>
      <c r="M441" s="437"/>
      <c r="N441" s="437"/>
      <c r="O441" s="437"/>
      <c r="P441" s="437"/>
      <c r="Q441" s="437"/>
      <c r="R441" s="437"/>
      <c r="S441" s="437"/>
      <c r="T441" s="437"/>
      <c r="U441" s="437"/>
      <c r="V441" s="437"/>
      <c r="W441" s="437"/>
      <c r="X441" s="437"/>
      <c r="Y441" s="437"/>
      <c r="Z441" s="426">
        <f ca="1" t="shared" si="66"/>
        <v>317.566666666666</v>
      </c>
    </row>
    <row r="442" spans="4:26">
      <c r="D442" s="3">
        <v>205</v>
      </c>
      <c r="E442" s="426">
        <f ca="1" t="shared" si="64"/>
        <v>320</v>
      </c>
      <c r="F442" s="436">
        <v>1.07</v>
      </c>
      <c r="G442" s="436"/>
      <c r="H442" s="427">
        <f t="shared" si="65"/>
        <v>677825060</v>
      </c>
      <c r="I442" s="428">
        <f t="shared" si="63"/>
        <v>0</v>
      </c>
      <c r="J442" s="437"/>
      <c r="K442" s="437"/>
      <c r="L442" s="437"/>
      <c r="M442" s="437"/>
      <c r="N442" s="437"/>
      <c r="O442" s="437"/>
      <c r="P442" s="437"/>
      <c r="Q442" s="437"/>
      <c r="R442" s="437"/>
      <c r="S442" s="437"/>
      <c r="T442" s="437"/>
      <c r="U442" s="437"/>
      <c r="V442" s="437"/>
      <c r="W442" s="437"/>
      <c r="X442" s="437"/>
      <c r="Y442" s="437"/>
      <c r="Z442" s="426">
        <f ca="1" t="shared" si="66"/>
        <v>320.596969696969</v>
      </c>
    </row>
    <row r="443" spans="4:26">
      <c r="D443" s="3">
        <v>206</v>
      </c>
      <c r="E443" s="426">
        <f ca="1" t="shared" si="64"/>
        <v>323</v>
      </c>
      <c r="F443" s="436">
        <v>1.07</v>
      </c>
      <c r="G443" s="436"/>
      <c r="H443" s="427">
        <f t="shared" si="65"/>
        <v>725272814</v>
      </c>
      <c r="I443" s="428">
        <f t="shared" si="63"/>
        <v>0</v>
      </c>
      <c r="J443" s="437"/>
      <c r="K443" s="437"/>
      <c r="L443" s="437"/>
      <c r="M443" s="437"/>
      <c r="N443" s="437"/>
      <c r="O443" s="437"/>
      <c r="P443" s="437"/>
      <c r="Q443" s="437"/>
      <c r="R443" s="437"/>
      <c r="S443" s="437"/>
      <c r="T443" s="437"/>
      <c r="U443" s="437"/>
      <c r="V443" s="437"/>
      <c r="W443" s="437"/>
      <c r="X443" s="437"/>
      <c r="Y443" s="437"/>
      <c r="Z443" s="426">
        <f ca="1" t="shared" si="66"/>
        <v>323.627272727272</v>
      </c>
    </row>
    <row r="444" spans="4:26">
      <c r="D444" s="3">
        <v>207</v>
      </c>
      <c r="E444" s="426">
        <f ca="1" t="shared" si="64"/>
        <v>326</v>
      </c>
      <c r="F444" s="436">
        <v>1.07</v>
      </c>
      <c r="G444" s="436"/>
      <c r="H444" s="427">
        <f t="shared" si="65"/>
        <v>776041910</v>
      </c>
      <c r="I444" s="428">
        <f t="shared" si="63"/>
        <v>0</v>
      </c>
      <c r="J444" s="437"/>
      <c r="K444" s="437"/>
      <c r="L444" s="437"/>
      <c r="M444" s="437"/>
      <c r="N444" s="437"/>
      <c r="O444" s="437"/>
      <c r="P444" s="437"/>
      <c r="Q444" s="437"/>
      <c r="R444" s="437"/>
      <c r="S444" s="437"/>
      <c r="T444" s="437"/>
      <c r="U444" s="437"/>
      <c r="V444" s="437"/>
      <c r="W444" s="437"/>
      <c r="X444" s="437"/>
      <c r="Y444" s="437"/>
      <c r="Z444" s="426">
        <f ca="1" t="shared" si="66"/>
        <v>326.657575757575</v>
      </c>
    </row>
    <row r="445" spans="4:26">
      <c r="D445" s="3">
        <v>208</v>
      </c>
      <c r="E445" s="426">
        <f ca="1" t="shared" si="64"/>
        <v>329</v>
      </c>
      <c r="F445" s="436">
        <v>1.07</v>
      </c>
      <c r="G445" s="436"/>
      <c r="H445" s="427">
        <f t="shared" si="65"/>
        <v>830364843</v>
      </c>
      <c r="I445" s="428">
        <f t="shared" si="63"/>
        <v>0</v>
      </c>
      <c r="J445" s="437"/>
      <c r="K445" s="437"/>
      <c r="L445" s="437"/>
      <c r="M445" s="437"/>
      <c r="N445" s="437"/>
      <c r="O445" s="437"/>
      <c r="P445" s="437"/>
      <c r="Q445" s="437"/>
      <c r="R445" s="437"/>
      <c r="S445" s="437"/>
      <c r="T445" s="437"/>
      <c r="U445" s="437"/>
      <c r="V445" s="437"/>
      <c r="W445" s="437"/>
      <c r="X445" s="437"/>
      <c r="Y445" s="437"/>
      <c r="Z445" s="426">
        <f ca="1" t="shared" si="66"/>
        <v>329.687878787878</v>
      </c>
    </row>
    <row r="446" spans="4:26">
      <c r="D446" s="3">
        <v>209</v>
      </c>
      <c r="E446" s="426">
        <f ca="1" t="shared" si="64"/>
        <v>332</v>
      </c>
      <c r="F446" s="436">
        <v>1.07</v>
      </c>
      <c r="G446" s="436"/>
      <c r="H446" s="427">
        <f t="shared" si="65"/>
        <v>888490382</v>
      </c>
      <c r="I446" s="428">
        <f t="shared" si="63"/>
        <v>0</v>
      </c>
      <c r="J446" s="437"/>
      <c r="K446" s="437"/>
      <c r="L446" s="437"/>
      <c r="M446" s="437"/>
      <c r="N446" s="437"/>
      <c r="O446" s="437"/>
      <c r="P446" s="437"/>
      <c r="Q446" s="437"/>
      <c r="R446" s="437"/>
      <c r="S446" s="437"/>
      <c r="T446" s="437"/>
      <c r="U446" s="437"/>
      <c r="V446" s="437"/>
      <c r="W446" s="437"/>
      <c r="X446" s="437"/>
      <c r="Y446" s="437"/>
      <c r="Z446" s="426">
        <f ca="1" t="shared" si="66"/>
        <v>332.718181818181</v>
      </c>
    </row>
    <row r="447" spans="4:26">
      <c r="D447" s="3">
        <v>210</v>
      </c>
      <c r="E447" s="426">
        <f ca="1" t="shared" si="64"/>
        <v>335</v>
      </c>
      <c r="F447" s="436">
        <v>1.07</v>
      </c>
      <c r="G447" s="436"/>
      <c r="H447" s="427">
        <f t="shared" si="65"/>
        <v>950684708</v>
      </c>
      <c r="I447" s="428">
        <f t="shared" si="63"/>
        <v>0</v>
      </c>
      <c r="J447" s="437"/>
      <c r="K447" s="437"/>
      <c r="L447" s="437"/>
      <c r="M447" s="437"/>
      <c r="N447" s="437"/>
      <c r="O447" s="437"/>
      <c r="P447" s="437"/>
      <c r="Q447" s="437"/>
      <c r="R447" s="437"/>
      <c r="S447" s="437"/>
      <c r="T447" s="437"/>
      <c r="U447" s="437"/>
      <c r="V447" s="437"/>
      <c r="W447" s="437"/>
      <c r="X447" s="437"/>
      <c r="Y447" s="437"/>
      <c r="Z447" s="426">
        <f ca="1" t="shared" si="66"/>
        <v>335.748484848484</v>
      </c>
    </row>
    <row r="448" spans="4:26">
      <c r="D448" s="3">
        <v>211</v>
      </c>
      <c r="E448" s="426">
        <f ca="1" t="shared" si="64"/>
        <v>338</v>
      </c>
      <c r="F448" s="436">
        <v>1.07</v>
      </c>
      <c r="G448" s="436"/>
      <c r="H448" s="427">
        <f t="shared" si="65"/>
        <v>1017232637</v>
      </c>
      <c r="I448" s="428">
        <f t="shared" si="63"/>
        <v>0</v>
      </c>
      <c r="J448" s="437"/>
      <c r="K448" s="437"/>
      <c r="L448" s="437"/>
      <c r="M448" s="437"/>
      <c r="N448" s="437"/>
      <c r="O448" s="437"/>
      <c r="P448" s="437"/>
      <c r="Q448" s="437"/>
      <c r="R448" s="437"/>
      <c r="S448" s="437"/>
      <c r="T448" s="437"/>
      <c r="U448" s="437"/>
      <c r="V448" s="437"/>
      <c r="W448" s="437"/>
      <c r="X448" s="437"/>
      <c r="Y448" s="437"/>
      <c r="Z448" s="426">
        <f ca="1" t="shared" si="66"/>
        <v>338.778787878787</v>
      </c>
    </row>
    <row r="449" spans="4:26">
      <c r="D449" s="3">
        <v>212</v>
      </c>
      <c r="E449" s="426">
        <f ca="1" t="shared" si="64"/>
        <v>341</v>
      </c>
      <c r="F449" s="436">
        <v>1.07</v>
      </c>
      <c r="G449" s="436"/>
      <c r="H449" s="427">
        <f t="shared" si="65"/>
        <v>1088438921</v>
      </c>
      <c r="I449" s="428">
        <f t="shared" si="63"/>
        <v>0</v>
      </c>
      <c r="J449" s="437"/>
      <c r="K449" s="437"/>
      <c r="L449" s="437"/>
      <c r="M449" s="437"/>
      <c r="N449" s="437"/>
      <c r="O449" s="437"/>
      <c r="P449" s="437"/>
      <c r="Q449" s="437"/>
      <c r="R449" s="437"/>
      <c r="S449" s="437"/>
      <c r="T449" s="437"/>
      <c r="U449" s="437"/>
      <c r="V449" s="437"/>
      <c r="W449" s="437"/>
      <c r="X449" s="437"/>
      <c r="Y449" s="437"/>
      <c r="Z449" s="426">
        <f ca="1" t="shared" si="66"/>
        <v>341.80909090909</v>
      </c>
    </row>
    <row r="450" spans="4:26">
      <c r="D450" s="3">
        <v>213</v>
      </c>
      <c r="E450" s="426">
        <f ca="1" t="shared" si="64"/>
        <v>344</v>
      </c>
      <c r="F450" s="436">
        <v>1.07</v>
      </c>
      <c r="G450" s="436"/>
      <c r="H450" s="427">
        <f t="shared" si="65"/>
        <v>1164629645</v>
      </c>
      <c r="I450" s="428">
        <f t="shared" si="63"/>
        <v>0</v>
      </c>
      <c r="J450" s="437"/>
      <c r="K450" s="437"/>
      <c r="L450" s="437"/>
      <c r="M450" s="437"/>
      <c r="N450" s="437"/>
      <c r="O450" s="437"/>
      <c r="P450" s="437"/>
      <c r="Q450" s="437"/>
      <c r="R450" s="437"/>
      <c r="S450" s="437"/>
      <c r="T450" s="437"/>
      <c r="U450" s="437"/>
      <c r="V450" s="437"/>
      <c r="W450" s="437"/>
      <c r="X450" s="437"/>
      <c r="Y450" s="437"/>
      <c r="Z450" s="426">
        <f ca="1" t="shared" si="66"/>
        <v>344.839393939393</v>
      </c>
    </row>
    <row r="451" spans="4:26">
      <c r="D451" s="3">
        <v>214</v>
      </c>
      <c r="E451" s="426">
        <f ca="1" t="shared" si="64"/>
        <v>347</v>
      </c>
      <c r="F451" s="436">
        <v>1.07</v>
      </c>
      <c r="G451" s="436"/>
      <c r="H451" s="427">
        <f t="shared" si="65"/>
        <v>1246153720</v>
      </c>
      <c r="I451" s="428">
        <f t="shared" si="63"/>
        <v>0</v>
      </c>
      <c r="J451" s="437"/>
      <c r="K451" s="437"/>
      <c r="L451" s="437"/>
      <c r="M451" s="437"/>
      <c r="N451" s="437"/>
      <c r="O451" s="437"/>
      <c r="P451" s="437"/>
      <c r="Q451" s="437"/>
      <c r="R451" s="437"/>
      <c r="S451" s="437"/>
      <c r="T451" s="437"/>
      <c r="U451" s="437"/>
      <c r="V451" s="437"/>
      <c r="W451" s="437"/>
      <c r="X451" s="437"/>
      <c r="Y451" s="437"/>
      <c r="Z451" s="426">
        <f ca="1" t="shared" si="66"/>
        <v>347.869696969696</v>
      </c>
    </row>
    <row r="452" spans="4:26">
      <c r="D452" s="3">
        <v>215</v>
      </c>
      <c r="E452" s="426">
        <f ca="1" t="shared" si="64"/>
        <v>350</v>
      </c>
      <c r="F452" s="436">
        <v>1.07</v>
      </c>
      <c r="G452" s="436"/>
      <c r="H452" s="427">
        <f t="shared" si="65"/>
        <v>1333384480</v>
      </c>
      <c r="I452" s="428">
        <f t="shared" si="63"/>
        <v>0</v>
      </c>
      <c r="J452" s="437"/>
      <c r="K452" s="437"/>
      <c r="L452" s="437"/>
      <c r="M452" s="437"/>
      <c r="N452" s="437"/>
      <c r="O452" s="437"/>
      <c r="P452" s="437"/>
      <c r="Q452" s="437"/>
      <c r="R452" s="437"/>
      <c r="S452" s="437"/>
      <c r="T452" s="437"/>
      <c r="U452" s="437"/>
      <c r="V452" s="437"/>
      <c r="W452" s="437"/>
      <c r="X452" s="437"/>
      <c r="Y452" s="437"/>
      <c r="Z452" s="426">
        <f ca="1" t="shared" si="66"/>
        <v>350.899999999999</v>
      </c>
    </row>
    <row r="453" spans="4:26">
      <c r="D453" s="3">
        <v>216</v>
      </c>
      <c r="E453" s="426">
        <f ca="1" t="shared" si="64"/>
        <v>353</v>
      </c>
      <c r="F453" s="436">
        <v>1.07</v>
      </c>
      <c r="G453" s="436"/>
      <c r="H453" s="427">
        <f t="shared" si="65"/>
        <v>1426721393</v>
      </c>
      <c r="I453" s="428">
        <f t="shared" si="63"/>
        <v>0</v>
      </c>
      <c r="J453" s="437"/>
      <c r="K453" s="437"/>
      <c r="L453" s="437"/>
      <c r="M453" s="437"/>
      <c r="N453" s="437"/>
      <c r="O453" s="437"/>
      <c r="P453" s="437"/>
      <c r="Q453" s="437"/>
      <c r="R453" s="437"/>
      <c r="S453" s="437"/>
      <c r="T453" s="437"/>
      <c r="U453" s="437"/>
      <c r="V453" s="437"/>
      <c r="W453" s="437"/>
      <c r="X453" s="437"/>
      <c r="Y453" s="437"/>
      <c r="Z453" s="426">
        <f ca="1" t="shared" si="66"/>
        <v>353.930303030302</v>
      </c>
    </row>
    <row r="454" spans="4:26">
      <c r="D454" s="3">
        <v>217</v>
      </c>
      <c r="E454" s="426">
        <f ca="1" t="shared" si="64"/>
        <v>356</v>
      </c>
      <c r="F454" s="436">
        <v>1.07</v>
      </c>
      <c r="G454" s="436"/>
      <c r="H454" s="427">
        <f t="shared" si="65"/>
        <v>1526591890</v>
      </c>
      <c r="I454" s="428">
        <f t="shared" si="63"/>
        <v>0</v>
      </c>
      <c r="J454" s="437"/>
      <c r="K454" s="437"/>
      <c r="L454" s="437"/>
      <c r="M454" s="437"/>
      <c r="N454" s="437"/>
      <c r="O454" s="437"/>
      <c r="P454" s="437"/>
      <c r="Q454" s="437"/>
      <c r="R454" s="437"/>
      <c r="S454" s="437"/>
      <c r="T454" s="437"/>
      <c r="U454" s="437"/>
      <c r="V454" s="437"/>
      <c r="W454" s="437"/>
      <c r="X454" s="437"/>
      <c r="Y454" s="437"/>
      <c r="Z454" s="426">
        <f ca="1" t="shared" si="66"/>
        <v>356.960606060605</v>
      </c>
    </row>
    <row r="455" spans="4:26">
      <c r="D455" s="3">
        <v>218</v>
      </c>
      <c r="E455" s="426">
        <f ca="1" t="shared" si="64"/>
        <v>359</v>
      </c>
      <c r="F455" s="436">
        <v>1.07</v>
      </c>
      <c r="G455" s="436"/>
      <c r="H455" s="427">
        <f t="shared" si="65"/>
        <v>1633453322</v>
      </c>
      <c r="I455" s="428">
        <f t="shared" si="63"/>
        <v>0</v>
      </c>
      <c r="J455" s="437"/>
      <c r="K455" s="437"/>
      <c r="L455" s="437"/>
      <c r="M455" s="437"/>
      <c r="N455" s="437"/>
      <c r="O455" s="437"/>
      <c r="P455" s="437"/>
      <c r="Q455" s="437"/>
      <c r="R455" s="437"/>
      <c r="S455" s="437"/>
      <c r="T455" s="437"/>
      <c r="U455" s="437"/>
      <c r="V455" s="437"/>
      <c r="W455" s="437"/>
      <c r="X455" s="437"/>
      <c r="Y455" s="437"/>
      <c r="Z455" s="426">
        <f ca="1" t="shared" si="66"/>
        <v>359.990909090908</v>
      </c>
    </row>
    <row r="456" spans="4:26">
      <c r="D456" s="3">
        <v>219</v>
      </c>
      <c r="E456" s="426">
        <f ca="1" t="shared" si="64"/>
        <v>363</v>
      </c>
      <c r="F456" s="436">
        <v>1.07</v>
      </c>
      <c r="G456" s="436"/>
      <c r="H456" s="427">
        <f t="shared" si="65"/>
        <v>1747795054</v>
      </c>
      <c r="I456" s="428">
        <f t="shared" si="63"/>
        <v>0</v>
      </c>
      <c r="J456" s="437"/>
      <c r="K456" s="437"/>
      <c r="L456" s="437"/>
      <c r="M456" s="437"/>
      <c r="N456" s="437"/>
      <c r="O456" s="437"/>
      <c r="P456" s="437"/>
      <c r="Q456" s="437"/>
      <c r="R456" s="437"/>
      <c r="S456" s="437"/>
      <c r="T456" s="437"/>
      <c r="U456" s="437"/>
      <c r="V456" s="437"/>
      <c r="W456" s="437"/>
      <c r="X456" s="437"/>
      <c r="Y456" s="437"/>
      <c r="Z456" s="426">
        <f ca="1" t="shared" si="66"/>
        <v>363.021212121211</v>
      </c>
    </row>
    <row r="457" spans="4:26">
      <c r="D457" s="3">
        <v>220</v>
      </c>
      <c r="E457" s="426">
        <f ca="1" t="shared" si="64"/>
        <v>366</v>
      </c>
      <c r="F457" s="436">
        <v>1.07</v>
      </c>
      <c r="G457" s="436"/>
      <c r="H457" s="427">
        <f t="shared" si="65"/>
        <v>1870140707</v>
      </c>
      <c r="I457" s="428">
        <f t="shared" si="63"/>
        <v>0</v>
      </c>
      <c r="J457" s="437"/>
      <c r="K457" s="437"/>
      <c r="L457" s="437"/>
      <c r="M457" s="437"/>
      <c r="N457" s="437"/>
      <c r="O457" s="437"/>
      <c r="P457" s="437"/>
      <c r="Q457" s="437"/>
      <c r="R457" s="437"/>
      <c r="S457" s="437"/>
      <c r="T457" s="437"/>
      <c r="U457" s="437"/>
      <c r="V457" s="437"/>
      <c r="W457" s="437"/>
      <c r="X457" s="437"/>
      <c r="Y457" s="437"/>
      <c r="Z457" s="426">
        <f ca="1" t="shared" si="66"/>
        <v>366.051515151514</v>
      </c>
    </row>
    <row r="458" spans="4:26">
      <c r="D458" s="3">
        <v>221</v>
      </c>
      <c r="E458" s="426">
        <f ca="1" t="shared" si="64"/>
        <v>369</v>
      </c>
      <c r="F458" s="436">
        <v>1.07</v>
      </c>
      <c r="G458" s="436"/>
      <c r="H458" s="427">
        <f t="shared" si="65"/>
        <v>2001050556</v>
      </c>
      <c r="I458" s="428">
        <f t="shared" si="63"/>
        <v>0</v>
      </c>
      <c r="J458" s="437"/>
      <c r="K458" s="437"/>
      <c r="L458" s="437"/>
      <c r="M458" s="437"/>
      <c r="N458" s="437"/>
      <c r="O458" s="437"/>
      <c r="P458" s="437"/>
      <c r="Q458" s="437"/>
      <c r="R458" s="437"/>
      <c r="S458" s="437"/>
      <c r="T458" s="437"/>
      <c r="U458" s="437"/>
      <c r="V458" s="437"/>
      <c r="W458" s="437"/>
      <c r="X458" s="437"/>
      <c r="Y458" s="437"/>
      <c r="Z458" s="426">
        <f ca="1" t="shared" si="66"/>
        <v>369.081818181817</v>
      </c>
    </row>
    <row r="459" spans="4:26">
      <c r="D459" s="3">
        <v>222</v>
      </c>
      <c r="E459" s="426">
        <f ca="1" t="shared" si="64"/>
        <v>372</v>
      </c>
      <c r="F459" s="436">
        <v>1.07</v>
      </c>
      <c r="G459" s="436"/>
      <c r="H459" s="427">
        <f t="shared" si="65"/>
        <v>2141124094</v>
      </c>
      <c r="I459" s="428">
        <f t="shared" si="63"/>
        <v>0</v>
      </c>
      <c r="J459" s="437"/>
      <c r="K459" s="437"/>
      <c r="L459" s="437"/>
      <c r="M459" s="437"/>
      <c r="N459" s="437"/>
      <c r="O459" s="437"/>
      <c r="P459" s="437"/>
      <c r="Q459" s="437"/>
      <c r="R459" s="437"/>
      <c r="S459" s="437"/>
      <c r="T459" s="437"/>
      <c r="U459" s="437"/>
      <c r="V459" s="437"/>
      <c r="W459" s="437"/>
      <c r="X459" s="437"/>
      <c r="Y459" s="437"/>
      <c r="Z459" s="426">
        <f ca="1" t="shared" si="66"/>
        <v>372.11212121212</v>
      </c>
    </row>
    <row r="460" spans="4:26">
      <c r="D460" s="3">
        <v>223</v>
      </c>
      <c r="E460" s="426">
        <f ca="1" t="shared" si="64"/>
        <v>375</v>
      </c>
      <c r="F460" s="436">
        <v>1.07</v>
      </c>
      <c r="G460" s="436"/>
      <c r="H460" s="427">
        <f t="shared" si="65"/>
        <v>2291002780</v>
      </c>
      <c r="I460" s="428">
        <f t="shared" si="63"/>
        <v>0</v>
      </c>
      <c r="J460" s="437"/>
      <c r="K460" s="437"/>
      <c r="L460" s="437"/>
      <c r="M460" s="437"/>
      <c r="N460" s="437"/>
      <c r="O460" s="437"/>
      <c r="P460" s="437"/>
      <c r="Q460" s="437"/>
      <c r="R460" s="437"/>
      <c r="S460" s="437"/>
      <c r="T460" s="437"/>
      <c r="U460" s="437"/>
      <c r="V460" s="437"/>
      <c r="W460" s="437"/>
      <c r="X460" s="437"/>
      <c r="Y460" s="437"/>
      <c r="Z460" s="426">
        <f ca="1" t="shared" si="66"/>
        <v>375.142424242423</v>
      </c>
    </row>
    <row r="461" spans="4:26">
      <c r="D461" s="3">
        <v>224</v>
      </c>
      <c r="E461" s="426">
        <f ca="1" t="shared" si="64"/>
        <v>378</v>
      </c>
      <c r="F461" s="436">
        <v>1.07</v>
      </c>
      <c r="G461" s="436"/>
      <c r="H461" s="427">
        <f t="shared" si="65"/>
        <v>2451372974</v>
      </c>
      <c r="I461" s="428">
        <f t="shared" si="63"/>
        <v>0</v>
      </c>
      <c r="J461" s="437"/>
      <c r="K461" s="437"/>
      <c r="L461" s="437"/>
      <c r="M461" s="437"/>
      <c r="N461" s="437"/>
      <c r="O461" s="437"/>
      <c r="P461" s="437"/>
      <c r="Q461" s="437"/>
      <c r="R461" s="437"/>
      <c r="S461" s="437"/>
      <c r="T461" s="437"/>
      <c r="U461" s="437"/>
      <c r="V461" s="437"/>
      <c r="W461" s="437"/>
      <c r="X461" s="437"/>
      <c r="Y461" s="437"/>
      <c r="Z461" s="426">
        <f ca="1" t="shared" si="66"/>
        <v>378.172727272726</v>
      </c>
    </row>
    <row r="462" spans="4:26">
      <c r="D462" s="3">
        <v>225</v>
      </c>
      <c r="E462" s="426">
        <f ca="1" t="shared" si="64"/>
        <v>381</v>
      </c>
      <c r="F462" s="436">
        <v>1.07</v>
      </c>
      <c r="G462" s="436"/>
      <c r="H462" s="427">
        <f t="shared" si="65"/>
        <v>2622969082</v>
      </c>
      <c r="I462" s="428">
        <f t="shared" si="63"/>
        <v>0</v>
      </c>
      <c r="J462" s="437"/>
      <c r="K462" s="437"/>
      <c r="L462" s="437"/>
      <c r="M462" s="437"/>
      <c r="N462" s="437"/>
      <c r="O462" s="437"/>
      <c r="P462" s="437"/>
      <c r="Q462" s="437"/>
      <c r="R462" s="437"/>
      <c r="S462" s="437"/>
      <c r="T462" s="437"/>
      <c r="U462" s="437"/>
      <c r="V462" s="437"/>
      <c r="W462" s="437"/>
      <c r="X462" s="437"/>
      <c r="Y462" s="437"/>
      <c r="Z462" s="426">
        <f ca="1" t="shared" si="66"/>
        <v>381.203030303029</v>
      </c>
    </row>
    <row r="463" spans="4:26">
      <c r="D463" s="3">
        <v>226</v>
      </c>
      <c r="E463" s="426">
        <f ca="1" t="shared" si="64"/>
        <v>384</v>
      </c>
      <c r="F463" s="436">
        <v>1.07</v>
      </c>
      <c r="G463" s="436"/>
      <c r="H463" s="427">
        <f t="shared" si="65"/>
        <v>2806576917</v>
      </c>
      <c r="I463" s="428">
        <f t="shared" si="63"/>
        <v>0</v>
      </c>
      <c r="J463" s="437"/>
      <c r="K463" s="437"/>
      <c r="L463" s="437"/>
      <c r="M463" s="437"/>
      <c r="N463" s="437"/>
      <c r="O463" s="437"/>
      <c r="P463" s="437"/>
      <c r="Q463" s="437"/>
      <c r="R463" s="437"/>
      <c r="S463" s="437"/>
      <c r="T463" s="437"/>
      <c r="U463" s="437"/>
      <c r="V463" s="437"/>
      <c r="W463" s="437"/>
      <c r="X463" s="437"/>
      <c r="Y463" s="437"/>
      <c r="Z463" s="426">
        <f ca="1" t="shared" si="66"/>
        <v>384.233333333332</v>
      </c>
    </row>
    <row r="464" spans="4:26">
      <c r="D464" s="3">
        <v>227</v>
      </c>
      <c r="E464" s="426">
        <f ca="1" t="shared" si="64"/>
        <v>387</v>
      </c>
      <c r="F464" s="436">
        <v>1.07</v>
      </c>
      <c r="G464" s="436"/>
      <c r="H464" s="427">
        <f t="shared" si="65"/>
        <v>3003037301</v>
      </c>
      <c r="I464" s="428">
        <f t="shared" si="63"/>
        <v>0</v>
      </c>
      <c r="J464" s="437"/>
      <c r="K464" s="437"/>
      <c r="L464" s="437"/>
      <c r="M464" s="437"/>
      <c r="N464" s="437"/>
      <c r="O464" s="437"/>
      <c r="P464" s="437"/>
      <c r="Q464" s="437"/>
      <c r="R464" s="437"/>
      <c r="S464" s="437"/>
      <c r="T464" s="437"/>
      <c r="U464" s="437"/>
      <c r="V464" s="437"/>
      <c r="W464" s="437"/>
      <c r="X464" s="437"/>
      <c r="Y464" s="437"/>
      <c r="Z464" s="426">
        <f ca="1" t="shared" si="66"/>
        <v>387.263636363635</v>
      </c>
    </row>
    <row r="465" spans="4:26">
      <c r="D465" s="3">
        <v>228</v>
      </c>
      <c r="E465" s="426">
        <f ca="1" t="shared" si="64"/>
        <v>390</v>
      </c>
      <c r="F465" s="436">
        <v>1.07</v>
      </c>
      <c r="G465" s="436"/>
      <c r="H465" s="427">
        <f t="shared" si="65"/>
        <v>3213249912</v>
      </c>
      <c r="I465" s="428">
        <f t="shared" si="63"/>
        <v>0</v>
      </c>
      <c r="J465" s="437"/>
      <c r="K465" s="437"/>
      <c r="L465" s="437"/>
      <c r="M465" s="437"/>
      <c r="N465" s="437"/>
      <c r="O465" s="437"/>
      <c r="P465" s="437"/>
      <c r="Q465" s="437"/>
      <c r="R465" s="437"/>
      <c r="S465" s="437"/>
      <c r="T465" s="437"/>
      <c r="U465" s="437"/>
      <c r="V465" s="437"/>
      <c r="W465" s="437"/>
      <c r="X465" s="437"/>
      <c r="Y465" s="437"/>
      <c r="Z465" s="426">
        <f ca="1" t="shared" si="66"/>
        <v>390.293939393938</v>
      </c>
    </row>
    <row r="466" spans="4:26">
      <c r="D466" s="3">
        <v>229</v>
      </c>
      <c r="E466" s="426">
        <f ca="1" t="shared" si="64"/>
        <v>393</v>
      </c>
      <c r="F466" s="436">
        <v>1.07</v>
      </c>
      <c r="G466" s="436"/>
      <c r="H466" s="427">
        <f t="shared" si="65"/>
        <v>3438177405</v>
      </c>
      <c r="I466" s="428">
        <f t="shared" si="63"/>
        <v>0</v>
      </c>
      <c r="J466" s="437"/>
      <c r="K466" s="437"/>
      <c r="L466" s="437"/>
      <c r="M466" s="437"/>
      <c r="N466" s="437"/>
      <c r="O466" s="437"/>
      <c r="P466" s="437"/>
      <c r="Q466" s="437"/>
      <c r="R466" s="437"/>
      <c r="S466" s="437"/>
      <c r="T466" s="437"/>
      <c r="U466" s="437"/>
      <c r="V466" s="437"/>
      <c r="W466" s="437"/>
      <c r="X466" s="437"/>
      <c r="Y466" s="437"/>
      <c r="Z466" s="426">
        <f ca="1" t="shared" si="66"/>
        <v>393.324242424241</v>
      </c>
    </row>
    <row r="467" spans="4:26">
      <c r="D467" s="3">
        <v>230</v>
      </c>
      <c r="E467" s="426">
        <f ca="1" t="shared" si="64"/>
        <v>396</v>
      </c>
      <c r="F467" s="436">
        <v>1.07</v>
      </c>
      <c r="G467" s="436"/>
      <c r="H467" s="427">
        <f t="shared" si="65"/>
        <v>3678849823</v>
      </c>
      <c r="I467" s="428">
        <f t="shared" si="63"/>
        <v>0</v>
      </c>
      <c r="J467" s="437"/>
      <c r="K467" s="437"/>
      <c r="L467" s="437"/>
      <c r="M467" s="437"/>
      <c r="N467" s="437"/>
      <c r="O467" s="437"/>
      <c r="P467" s="437"/>
      <c r="Q467" s="437"/>
      <c r="R467" s="437"/>
      <c r="S467" s="437"/>
      <c r="T467" s="437"/>
      <c r="U467" s="437"/>
      <c r="V467" s="437"/>
      <c r="W467" s="437"/>
      <c r="X467" s="437"/>
      <c r="Y467" s="437"/>
      <c r="Z467" s="426">
        <f ca="1" t="shared" si="66"/>
        <v>396.354545454544</v>
      </c>
    </row>
    <row r="468" spans="4:26">
      <c r="D468" s="3">
        <v>231</v>
      </c>
      <c r="E468" s="426">
        <f ca="1" t="shared" si="64"/>
        <v>399</v>
      </c>
      <c r="F468" s="436">
        <v>1.07</v>
      </c>
      <c r="G468" s="436"/>
      <c r="H468" s="427">
        <f t="shared" si="65"/>
        <v>3936369310</v>
      </c>
      <c r="I468" s="428">
        <f t="shared" si="63"/>
        <v>0</v>
      </c>
      <c r="J468" s="437"/>
      <c r="K468" s="437"/>
      <c r="L468" s="437"/>
      <c r="M468" s="437"/>
      <c r="N468" s="437"/>
      <c r="O468" s="437"/>
      <c r="P468" s="437"/>
      <c r="Q468" s="437"/>
      <c r="R468" s="437"/>
      <c r="S468" s="437"/>
      <c r="T468" s="437"/>
      <c r="U468" s="437"/>
      <c r="V468" s="437"/>
      <c r="W468" s="437"/>
      <c r="X468" s="437"/>
      <c r="Y468" s="437"/>
      <c r="Z468" s="426">
        <f ca="1" t="shared" si="66"/>
        <v>399.384848484847</v>
      </c>
    </row>
    <row r="469" spans="4:26">
      <c r="D469" s="3">
        <v>232</v>
      </c>
      <c r="E469" s="426">
        <f ca="1" t="shared" si="64"/>
        <v>402</v>
      </c>
      <c r="F469" s="436">
        <v>1.07</v>
      </c>
      <c r="G469" s="436"/>
      <c r="H469" s="427">
        <f t="shared" si="65"/>
        <v>4211915161</v>
      </c>
      <c r="I469" s="428">
        <f t="shared" si="63"/>
        <v>0</v>
      </c>
      <c r="J469" s="437"/>
      <c r="K469" s="437"/>
      <c r="L469" s="437"/>
      <c r="M469" s="437"/>
      <c r="N469" s="437"/>
      <c r="O469" s="437"/>
      <c r="P469" s="437"/>
      <c r="Q469" s="437"/>
      <c r="R469" s="437"/>
      <c r="S469" s="437"/>
      <c r="T469" s="437"/>
      <c r="U469" s="437"/>
      <c r="V469" s="437"/>
      <c r="W469" s="437"/>
      <c r="X469" s="437"/>
      <c r="Y469" s="437"/>
      <c r="Z469" s="426">
        <f ca="1" t="shared" si="66"/>
        <v>402.41515151515</v>
      </c>
    </row>
    <row r="470" spans="4:26">
      <c r="D470" s="3">
        <v>233</v>
      </c>
      <c r="E470" s="426">
        <f ca="1" t="shared" si="64"/>
        <v>405</v>
      </c>
      <c r="F470" s="436">
        <v>1.07</v>
      </c>
      <c r="G470" s="436"/>
      <c r="H470" s="427">
        <f t="shared" si="65"/>
        <v>4506749222</v>
      </c>
      <c r="I470" s="428">
        <f t="shared" si="63"/>
        <v>0</v>
      </c>
      <c r="J470" s="437"/>
      <c r="K470" s="437"/>
      <c r="L470" s="437"/>
      <c r="M470" s="437"/>
      <c r="N470" s="437"/>
      <c r="O470" s="437"/>
      <c r="P470" s="437"/>
      <c r="Q470" s="437"/>
      <c r="R470" s="437"/>
      <c r="S470" s="437"/>
      <c r="T470" s="437"/>
      <c r="U470" s="437"/>
      <c r="V470" s="437"/>
      <c r="W470" s="437"/>
      <c r="X470" s="437"/>
      <c r="Y470" s="437"/>
      <c r="Z470" s="426">
        <f ca="1" t="shared" si="66"/>
        <v>405.445454545453</v>
      </c>
    </row>
    <row r="471" spans="4:26">
      <c r="D471" s="3">
        <v>234</v>
      </c>
      <c r="E471" s="426">
        <f ca="1" t="shared" si="64"/>
        <v>408</v>
      </c>
      <c r="F471" s="436">
        <v>1.07</v>
      </c>
      <c r="G471" s="436"/>
      <c r="H471" s="427">
        <f t="shared" si="65"/>
        <v>4822221667</v>
      </c>
      <c r="I471" s="428">
        <f t="shared" si="63"/>
        <v>0</v>
      </c>
      <c r="J471" s="437"/>
      <c r="K471" s="437"/>
      <c r="L471" s="437"/>
      <c r="M471" s="437"/>
      <c r="N471" s="437"/>
      <c r="O471" s="437"/>
      <c r="P471" s="437"/>
      <c r="Q471" s="437"/>
      <c r="R471" s="437"/>
      <c r="S471" s="437"/>
      <c r="T471" s="437"/>
      <c r="U471" s="437"/>
      <c r="V471" s="437"/>
      <c r="W471" s="437"/>
      <c r="X471" s="437"/>
      <c r="Y471" s="437"/>
      <c r="Z471" s="426">
        <f ca="1" t="shared" si="66"/>
        <v>408.475757575756</v>
      </c>
    </row>
    <row r="472" spans="4:26">
      <c r="D472" s="3">
        <v>235</v>
      </c>
      <c r="E472" s="426">
        <f ca="1" t="shared" si="64"/>
        <v>411</v>
      </c>
      <c r="F472" s="436">
        <v>1.07</v>
      </c>
      <c r="G472" s="436"/>
      <c r="H472" s="427">
        <f t="shared" si="65"/>
        <v>5159777183</v>
      </c>
      <c r="I472" s="428">
        <f t="shared" si="63"/>
        <v>0</v>
      </c>
      <c r="J472" s="437"/>
      <c r="K472" s="437"/>
      <c r="L472" s="437"/>
      <c r="M472" s="437"/>
      <c r="N472" s="437"/>
      <c r="O472" s="437"/>
      <c r="P472" s="437"/>
      <c r="Q472" s="437"/>
      <c r="R472" s="437"/>
      <c r="S472" s="437"/>
      <c r="T472" s="437"/>
      <c r="U472" s="437"/>
      <c r="V472" s="437"/>
      <c r="W472" s="437"/>
      <c r="X472" s="437"/>
      <c r="Y472" s="437"/>
      <c r="Z472" s="426">
        <f ca="1" t="shared" si="66"/>
        <v>411.506060606059</v>
      </c>
    </row>
    <row r="473" spans="4:26">
      <c r="D473" s="3">
        <v>236</v>
      </c>
      <c r="E473" s="426">
        <f ca="1" t="shared" si="64"/>
        <v>414</v>
      </c>
      <c r="F473" s="436">
        <v>1.07</v>
      </c>
      <c r="G473" s="436"/>
      <c r="H473" s="427">
        <f t="shared" si="65"/>
        <v>5520961585</v>
      </c>
      <c r="I473" s="428">
        <f t="shared" si="63"/>
        <v>0</v>
      </c>
      <c r="J473" s="437"/>
      <c r="K473" s="437"/>
      <c r="L473" s="437"/>
      <c r="M473" s="437"/>
      <c r="N473" s="437"/>
      <c r="O473" s="437"/>
      <c r="P473" s="437"/>
      <c r="Q473" s="437"/>
      <c r="R473" s="437"/>
      <c r="S473" s="437"/>
      <c r="T473" s="437"/>
      <c r="U473" s="437"/>
      <c r="V473" s="437"/>
      <c r="W473" s="437"/>
      <c r="X473" s="437"/>
      <c r="Y473" s="437"/>
      <c r="Z473" s="426">
        <f ca="1" t="shared" si="66"/>
        <v>414.536363636362</v>
      </c>
    </row>
    <row r="474" spans="4:26">
      <c r="D474" s="3">
        <v>237</v>
      </c>
      <c r="E474" s="426">
        <f ca="1" t="shared" si="64"/>
        <v>417</v>
      </c>
      <c r="F474" s="436">
        <v>1.07</v>
      </c>
      <c r="G474" s="436"/>
      <c r="H474" s="427">
        <f t="shared" si="65"/>
        <v>5907428895</v>
      </c>
      <c r="I474" s="428">
        <f t="shared" si="63"/>
        <v>0</v>
      </c>
      <c r="J474" s="437"/>
      <c r="K474" s="437"/>
      <c r="L474" s="437"/>
      <c r="M474" s="437"/>
      <c r="N474" s="437"/>
      <c r="O474" s="437"/>
      <c r="P474" s="437"/>
      <c r="Q474" s="437"/>
      <c r="R474" s="437"/>
      <c r="S474" s="437"/>
      <c r="T474" s="437"/>
      <c r="U474" s="437"/>
      <c r="V474" s="437"/>
      <c r="W474" s="437"/>
      <c r="X474" s="437"/>
      <c r="Y474" s="437"/>
      <c r="Z474" s="426">
        <f ca="1" t="shared" si="66"/>
        <v>417.566666666665</v>
      </c>
    </row>
    <row r="475" spans="4:26">
      <c r="D475" s="3">
        <v>238</v>
      </c>
      <c r="E475" s="426">
        <f ca="1" t="shared" si="64"/>
        <v>420</v>
      </c>
      <c r="F475" s="436">
        <v>1.07</v>
      </c>
      <c r="G475" s="436"/>
      <c r="H475" s="427">
        <f t="shared" si="65"/>
        <v>6320948917</v>
      </c>
      <c r="I475" s="428">
        <f t="shared" si="63"/>
        <v>0</v>
      </c>
      <c r="J475" s="437"/>
      <c r="K475" s="437"/>
      <c r="L475" s="437"/>
      <c r="M475" s="437"/>
      <c r="N475" s="437"/>
      <c r="O475" s="437"/>
      <c r="P475" s="437"/>
      <c r="Q475" s="437"/>
      <c r="R475" s="437"/>
      <c r="S475" s="437"/>
      <c r="T475" s="437"/>
      <c r="U475" s="437"/>
      <c r="V475" s="437"/>
      <c r="W475" s="437"/>
      <c r="X475" s="437"/>
      <c r="Y475" s="437"/>
      <c r="Z475" s="426">
        <f ca="1" t="shared" si="66"/>
        <v>420.596969696968</v>
      </c>
    </row>
    <row r="476" spans="4:26">
      <c r="D476" s="3">
        <v>239</v>
      </c>
      <c r="E476" s="426">
        <f ca="1" t="shared" si="64"/>
        <v>423</v>
      </c>
      <c r="F476" s="436">
        <v>1.07</v>
      </c>
      <c r="G476" s="436"/>
      <c r="H476" s="427">
        <f t="shared" si="65"/>
        <v>6763415341</v>
      </c>
      <c r="I476" s="428">
        <f t="shared" si="63"/>
        <v>0</v>
      </c>
      <c r="J476" s="437"/>
      <c r="K476" s="437"/>
      <c r="L476" s="437"/>
      <c r="M476" s="437"/>
      <c r="N476" s="437"/>
      <c r="O476" s="437"/>
      <c r="P476" s="437"/>
      <c r="Q476" s="437"/>
      <c r="R476" s="437"/>
      <c r="S476" s="437"/>
      <c r="T476" s="437"/>
      <c r="U476" s="437"/>
      <c r="V476" s="437"/>
      <c r="W476" s="437"/>
      <c r="X476" s="437"/>
      <c r="Y476" s="437"/>
      <c r="Z476" s="426">
        <f ca="1" t="shared" si="66"/>
        <v>423.627272727271</v>
      </c>
    </row>
    <row r="477" spans="4:26">
      <c r="D477" s="3">
        <v>240</v>
      </c>
      <c r="E477" s="426">
        <f ca="1" t="shared" si="64"/>
        <v>426</v>
      </c>
      <c r="F477" s="436">
        <v>1.07</v>
      </c>
      <c r="G477" s="436"/>
      <c r="H477" s="427">
        <f t="shared" si="65"/>
        <v>7236854414</v>
      </c>
      <c r="I477" s="428">
        <f t="shared" si="63"/>
        <v>0</v>
      </c>
      <c r="J477" s="437"/>
      <c r="K477" s="437"/>
      <c r="L477" s="437"/>
      <c r="M477" s="437"/>
      <c r="N477" s="437"/>
      <c r="O477" s="437"/>
      <c r="P477" s="437"/>
      <c r="Q477" s="437"/>
      <c r="R477" s="437"/>
      <c r="S477" s="437"/>
      <c r="T477" s="437"/>
      <c r="U477" s="437"/>
      <c r="V477" s="437"/>
      <c r="W477" s="437"/>
      <c r="X477" s="437"/>
      <c r="Y477" s="437"/>
      <c r="Z477" s="426">
        <f ca="1" t="shared" si="66"/>
        <v>426.657575757574</v>
      </c>
    </row>
    <row r="478" spans="4:26">
      <c r="D478" s="3">
        <v>241</v>
      </c>
      <c r="E478" s="426">
        <f ca="1" t="shared" si="64"/>
        <v>429</v>
      </c>
      <c r="F478" s="436">
        <v>1.07</v>
      </c>
      <c r="G478" s="436"/>
      <c r="H478" s="427">
        <f t="shared" si="65"/>
        <v>7743434222</v>
      </c>
      <c r="I478" s="428">
        <f t="shared" si="63"/>
        <v>0</v>
      </c>
      <c r="J478" s="437"/>
      <c r="K478" s="437"/>
      <c r="L478" s="437"/>
      <c r="M478" s="437"/>
      <c r="N478" s="437"/>
      <c r="O478" s="437"/>
      <c r="P478" s="437"/>
      <c r="Q478" s="437"/>
      <c r="R478" s="437"/>
      <c r="S478" s="437"/>
      <c r="T478" s="437"/>
      <c r="U478" s="437"/>
      <c r="V478" s="437"/>
      <c r="W478" s="437"/>
      <c r="X478" s="437"/>
      <c r="Y478" s="437"/>
      <c r="Z478" s="426">
        <f ca="1" t="shared" si="66"/>
        <v>429.687878787877</v>
      </c>
    </row>
    <row r="479" spans="4:26">
      <c r="D479" s="3">
        <v>242</v>
      </c>
      <c r="E479" s="426">
        <f ca="1" t="shared" si="64"/>
        <v>432</v>
      </c>
      <c r="F479" s="436">
        <v>1.07</v>
      </c>
      <c r="G479" s="436"/>
      <c r="H479" s="427">
        <f t="shared" si="65"/>
        <v>8285474617</v>
      </c>
      <c r="I479" s="428">
        <f t="shared" si="63"/>
        <v>0</v>
      </c>
      <c r="J479" s="437"/>
      <c r="K479" s="437"/>
      <c r="L479" s="437"/>
      <c r="M479" s="437"/>
      <c r="N479" s="437"/>
      <c r="O479" s="437"/>
      <c r="P479" s="437"/>
      <c r="Q479" s="437"/>
      <c r="R479" s="437"/>
      <c r="S479" s="437"/>
      <c r="T479" s="437"/>
      <c r="U479" s="437"/>
      <c r="V479" s="437"/>
      <c r="W479" s="437"/>
      <c r="X479" s="437"/>
      <c r="Y479" s="437"/>
      <c r="Z479" s="426">
        <f ca="1" t="shared" si="66"/>
        <v>432.71818181818</v>
      </c>
    </row>
    <row r="480" spans="4:26">
      <c r="D480" s="3">
        <v>243</v>
      </c>
      <c r="E480" s="426">
        <f ca="1" t="shared" si="64"/>
        <v>435</v>
      </c>
      <c r="F480" s="436">
        <v>1.07</v>
      </c>
      <c r="G480" s="436"/>
      <c r="H480" s="427">
        <f t="shared" si="65"/>
        <v>8865457840</v>
      </c>
      <c r="I480" s="428">
        <f t="shared" si="63"/>
        <v>0</v>
      </c>
      <c r="J480" s="437"/>
      <c r="K480" s="437"/>
      <c r="L480" s="437"/>
      <c r="M480" s="437"/>
      <c r="N480" s="437"/>
      <c r="O480" s="437"/>
      <c r="P480" s="437"/>
      <c r="Q480" s="437"/>
      <c r="R480" s="437"/>
      <c r="S480" s="437"/>
      <c r="T480" s="437"/>
      <c r="U480" s="437"/>
      <c r="V480" s="437"/>
      <c r="W480" s="437"/>
      <c r="X480" s="437"/>
      <c r="Y480" s="437"/>
      <c r="Z480" s="426">
        <f ca="1" t="shared" si="66"/>
        <v>435.748484848483</v>
      </c>
    </row>
    <row r="481" spans="4:26">
      <c r="D481" s="3">
        <v>244</v>
      </c>
      <c r="E481" s="426">
        <f ca="1" t="shared" si="64"/>
        <v>438</v>
      </c>
      <c r="F481" s="436">
        <v>1.07</v>
      </c>
      <c r="G481" s="436"/>
      <c r="H481" s="427">
        <f t="shared" si="65"/>
        <v>9486039888</v>
      </c>
      <c r="I481" s="428">
        <f t="shared" si="63"/>
        <v>0</v>
      </c>
      <c r="J481" s="437"/>
      <c r="K481" s="437"/>
      <c r="L481" s="437"/>
      <c r="M481" s="437"/>
      <c r="N481" s="437"/>
      <c r="O481" s="437"/>
      <c r="P481" s="437"/>
      <c r="Q481" s="437"/>
      <c r="R481" s="437"/>
      <c r="S481" s="437"/>
      <c r="T481" s="437"/>
      <c r="U481" s="437"/>
      <c r="V481" s="437"/>
      <c r="W481" s="437"/>
      <c r="X481" s="437"/>
      <c r="Y481" s="437"/>
      <c r="Z481" s="426">
        <f ca="1" t="shared" si="66"/>
        <v>438.778787878786</v>
      </c>
    </row>
    <row r="482" spans="4:26">
      <c r="D482" s="3">
        <v>245</v>
      </c>
      <c r="E482" s="426">
        <f ca="1" t="shared" si="64"/>
        <v>441</v>
      </c>
      <c r="F482" s="436">
        <v>1.07</v>
      </c>
      <c r="G482" s="436"/>
      <c r="H482" s="427">
        <f t="shared" si="65"/>
        <v>10150062680</v>
      </c>
      <c r="I482" s="428">
        <f t="shared" si="63"/>
        <v>0</v>
      </c>
      <c r="J482" s="437"/>
      <c r="K482" s="437"/>
      <c r="L482" s="437"/>
      <c r="M482" s="437"/>
      <c r="N482" s="437"/>
      <c r="O482" s="437"/>
      <c r="P482" s="437"/>
      <c r="Q482" s="437"/>
      <c r="R482" s="437"/>
      <c r="S482" s="437"/>
      <c r="T482" s="437"/>
      <c r="U482" s="437"/>
      <c r="V482" s="437"/>
      <c r="W482" s="437"/>
      <c r="X482" s="437"/>
      <c r="Y482" s="437"/>
      <c r="Z482" s="426">
        <f ca="1" t="shared" si="66"/>
        <v>441.809090909089</v>
      </c>
    </row>
    <row r="483" spans="4:26">
      <c r="D483" s="3">
        <v>246</v>
      </c>
      <c r="E483" s="426">
        <f ca="1" t="shared" si="64"/>
        <v>444</v>
      </c>
      <c r="F483" s="436">
        <v>1.07</v>
      </c>
      <c r="G483" s="436"/>
      <c r="H483" s="427">
        <f t="shared" si="65"/>
        <v>10860567067</v>
      </c>
      <c r="I483" s="428">
        <f t="shared" si="63"/>
        <v>0</v>
      </c>
      <c r="J483" s="437"/>
      <c r="K483" s="437"/>
      <c r="L483" s="437"/>
      <c r="M483" s="437"/>
      <c r="N483" s="437"/>
      <c r="O483" s="437"/>
      <c r="P483" s="437"/>
      <c r="Q483" s="437"/>
      <c r="R483" s="437"/>
      <c r="S483" s="437"/>
      <c r="T483" s="437"/>
      <c r="U483" s="437"/>
      <c r="V483" s="437"/>
      <c r="W483" s="437"/>
      <c r="X483" s="437"/>
      <c r="Y483" s="437"/>
      <c r="Z483" s="426">
        <f ca="1" t="shared" si="66"/>
        <v>444.839393939392</v>
      </c>
    </row>
    <row r="484" spans="4:26">
      <c r="D484" s="3">
        <v>247</v>
      </c>
      <c r="E484" s="426">
        <f ca="1" t="shared" si="64"/>
        <v>447</v>
      </c>
      <c r="F484" s="436">
        <v>1.07</v>
      </c>
      <c r="G484" s="436"/>
      <c r="H484" s="427">
        <f t="shared" si="65"/>
        <v>11620806761</v>
      </c>
      <c r="I484" s="428">
        <f t="shared" si="63"/>
        <v>0</v>
      </c>
      <c r="J484" s="437"/>
      <c r="K484" s="437"/>
      <c r="L484" s="437"/>
      <c r="M484" s="437"/>
      <c r="N484" s="437"/>
      <c r="O484" s="437"/>
      <c r="P484" s="437"/>
      <c r="Q484" s="437"/>
      <c r="R484" s="437"/>
      <c r="S484" s="437"/>
      <c r="T484" s="437"/>
      <c r="U484" s="437"/>
      <c r="V484" s="437"/>
      <c r="W484" s="437"/>
      <c r="X484" s="437"/>
      <c r="Y484" s="437"/>
      <c r="Z484" s="426">
        <f ca="1" t="shared" si="66"/>
        <v>447.869696969695</v>
      </c>
    </row>
    <row r="485" spans="4:26">
      <c r="D485" s="3">
        <v>248</v>
      </c>
      <c r="E485" s="426">
        <f ca="1" t="shared" si="64"/>
        <v>450</v>
      </c>
      <c r="F485" s="436">
        <v>1.07</v>
      </c>
      <c r="G485" s="436"/>
      <c r="H485" s="427">
        <f t="shared" si="65"/>
        <v>12434263234</v>
      </c>
      <c r="I485" s="428">
        <f t="shared" si="63"/>
        <v>0</v>
      </c>
      <c r="J485" s="437"/>
      <c r="K485" s="437"/>
      <c r="L485" s="437"/>
      <c r="M485" s="437"/>
      <c r="N485" s="437"/>
      <c r="O485" s="437"/>
      <c r="P485" s="437"/>
      <c r="Q485" s="437"/>
      <c r="R485" s="437"/>
      <c r="S485" s="437"/>
      <c r="T485" s="437"/>
      <c r="U485" s="437"/>
      <c r="V485" s="437"/>
      <c r="W485" s="437"/>
      <c r="X485" s="437"/>
      <c r="Y485" s="437"/>
      <c r="Z485" s="426">
        <f ca="1" t="shared" si="66"/>
        <v>450.899999999998</v>
      </c>
    </row>
    <row r="486" spans="4:26">
      <c r="D486" s="3">
        <v>249</v>
      </c>
      <c r="E486" s="426">
        <f ca="1" t="shared" si="64"/>
        <v>453</v>
      </c>
      <c r="F486" s="436">
        <v>1.07</v>
      </c>
      <c r="G486" s="436"/>
      <c r="H486" s="427">
        <f t="shared" si="65"/>
        <v>13304661660</v>
      </c>
      <c r="I486" s="428">
        <f t="shared" si="63"/>
        <v>0</v>
      </c>
      <c r="J486" s="437"/>
      <c r="K486" s="437"/>
      <c r="L486" s="437"/>
      <c r="M486" s="437"/>
      <c r="N486" s="437"/>
      <c r="O486" s="437"/>
      <c r="P486" s="437"/>
      <c r="Q486" s="437"/>
      <c r="R486" s="437"/>
      <c r="S486" s="437"/>
      <c r="T486" s="437"/>
      <c r="U486" s="437"/>
      <c r="V486" s="437"/>
      <c r="W486" s="437"/>
      <c r="X486" s="437"/>
      <c r="Y486" s="437"/>
      <c r="Z486" s="426">
        <f ca="1" t="shared" si="66"/>
        <v>453.930303030301</v>
      </c>
    </row>
    <row r="487" spans="4:26">
      <c r="D487" s="3">
        <v>250</v>
      </c>
      <c r="E487" s="426">
        <f ca="1" t="shared" si="64"/>
        <v>456</v>
      </c>
      <c r="F487" s="436">
        <v>1.07</v>
      </c>
      <c r="G487" s="436"/>
      <c r="H487" s="427">
        <f t="shared" si="65"/>
        <v>14235987976</v>
      </c>
      <c r="I487" s="428">
        <f t="shared" si="63"/>
        <v>0</v>
      </c>
      <c r="J487" s="437"/>
      <c r="K487" s="437"/>
      <c r="L487" s="437"/>
      <c r="M487" s="437"/>
      <c r="N487" s="437"/>
      <c r="O487" s="437"/>
      <c r="P487" s="437"/>
      <c r="Q487" s="437"/>
      <c r="R487" s="437"/>
      <c r="S487" s="437"/>
      <c r="T487" s="437"/>
      <c r="U487" s="437"/>
      <c r="V487" s="437"/>
      <c r="W487" s="437"/>
      <c r="X487" s="437"/>
      <c r="Y487" s="437"/>
      <c r="Z487" s="426">
        <f ca="1" t="shared" si="66"/>
        <v>456.960606060604</v>
      </c>
    </row>
    <row r="488" spans="4:26">
      <c r="D488" s="3">
        <v>251</v>
      </c>
      <c r="E488" s="426">
        <f ca="1" t="shared" si="64"/>
        <v>459</v>
      </c>
      <c r="F488" s="436">
        <v>1.07</v>
      </c>
      <c r="G488" s="436"/>
      <c r="H488" s="427">
        <f t="shared" si="65"/>
        <v>15232507134</v>
      </c>
      <c r="I488" s="428">
        <f t="shared" si="63"/>
        <v>0</v>
      </c>
      <c r="J488" s="437"/>
      <c r="K488" s="437"/>
      <c r="L488" s="437"/>
      <c r="M488" s="437"/>
      <c r="N488" s="437"/>
      <c r="O488" s="437"/>
      <c r="P488" s="437"/>
      <c r="Q488" s="437"/>
      <c r="R488" s="437"/>
      <c r="S488" s="437"/>
      <c r="T488" s="437"/>
      <c r="U488" s="437"/>
      <c r="V488" s="437"/>
      <c r="W488" s="437"/>
      <c r="X488" s="437"/>
      <c r="Y488" s="437"/>
      <c r="Z488" s="426">
        <f ca="1" t="shared" si="66"/>
        <v>459.990909090907</v>
      </c>
    </row>
    <row r="489" spans="4:26">
      <c r="D489" s="3">
        <v>252</v>
      </c>
      <c r="E489" s="426">
        <f ca="1" t="shared" si="64"/>
        <v>463</v>
      </c>
      <c r="F489" s="436">
        <v>1.07</v>
      </c>
      <c r="G489" s="436"/>
      <c r="H489" s="427">
        <f t="shared" si="65"/>
        <v>16298782633</v>
      </c>
      <c r="I489" s="428">
        <f t="shared" si="63"/>
        <v>0</v>
      </c>
      <c r="J489" s="437"/>
      <c r="K489" s="437"/>
      <c r="L489" s="437"/>
      <c r="M489" s="437"/>
      <c r="N489" s="437"/>
      <c r="O489" s="437"/>
      <c r="P489" s="437"/>
      <c r="Q489" s="437"/>
      <c r="R489" s="437"/>
      <c r="S489" s="437"/>
      <c r="T489" s="437"/>
      <c r="U489" s="437"/>
      <c r="V489" s="437"/>
      <c r="W489" s="437"/>
      <c r="X489" s="437"/>
      <c r="Y489" s="437"/>
      <c r="Z489" s="426">
        <f ca="1" t="shared" si="66"/>
        <v>463.02121212121</v>
      </c>
    </row>
    <row r="490" spans="4:26">
      <c r="D490" s="3">
        <v>253</v>
      </c>
      <c r="E490" s="426">
        <f ca="1" t="shared" si="64"/>
        <v>466</v>
      </c>
      <c r="F490" s="436">
        <v>1.07</v>
      </c>
      <c r="G490" s="436"/>
      <c r="H490" s="427">
        <f t="shared" si="65"/>
        <v>17439697417</v>
      </c>
      <c r="I490" s="428">
        <f t="shared" si="63"/>
        <v>0</v>
      </c>
      <c r="J490" s="437"/>
      <c r="K490" s="437"/>
      <c r="L490" s="437"/>
      <c r="M490" s="437"/>
      <c r="N490" s="437"/>
      <c r="O490" s="437"/>
      <c r="P490" s="437"/>
      <c r="Q490" s="437"/>
      <c r="R490" s="437"/>
      <c r="S490" s="437"/>
      <c r="T490" s="437"/>
      <c r="U490" s="437"/>
      <c r="V490" s="437"/>
      <c r="W490" s="437"/>
      <c r="X490" s="437"/>
      <c r="Y490" s="437"/>
      <c r="Z490" s="426">
        <f ca="1" t="shared" si="66"/>
        <v>466.051515151513</v>
      </c>
    </row>
    <row r="491" spans="4:26">
      <c r="D491" s="3">
        <v>254</v>
      </c>
      <c r="E491" s="426">
        <f ca="1" t="shared" si="64"/>
        <v>469</v>
      </c>
      <c r="F491" s="436">
        <v>1.07</v>
      </c>
      <c r="G491" s="436"/>
      <c r="H491" s="427">
        <f t="shared" si="65"/>
        <v>18660476236</v>
      </c>
      <c r="I491" s="428">
        <f t="shared" si="63"/>
        <v>0</v>
      </c>
      <c r="J491" s="437"/>
      <c r="K491" s="437"/>
      <c r="L491" s="437"/>
      <c r="M491" s="437"/>
      <c r="N491" s="437"/>
      <c r="O491" s="437"/>
      <c r="P491" s="437"/>
      <c r="Q491" s="437"/>
      <c r="R491" s="437"/>
      <c r="S491" s="437"/>
      <c r="T491" s="437"/>
      <c r="U491" s="437"/>
      <c r="V491" s="437"/>
      <c r="W491" s="437"/>
      <c r="X491" s="437"/>
      <c r="Y491" s="437"/>
      <c r="Z491" s="426">
        <f ca="1" t="shared" si="66"/>
        <v>469.081818181816</v>
      </c>
    </row>
    <row r="492" spans="4:26">
      <c r="D492" s="3">
        <v>255</v>
      </c>
      <c r="E492" s="426">
        <f ca="1" t="shared" si="64"/>
        <v>472</v>
      </c>
      <c r="F492" s="436">
        <v>1.07</v>
      </c>
      <c r="G492" s="436"/>
      <c r="H492" s="427">
        <f t="shared" si="65"/>
        <v>19966709572</v>
      </c>
      <c r="I492" s="428">
        <f t="shared" si="63"/>
        <v>0</v>
      </c>
      <c r="J492" s="437"/>
      <c r="K492" s="437"/>
      <c r="L492" s="437"/>
      <c r="M492" s="437"/>
      <c r="N492" s="437"/>
      <c r="O492" s="437"/>
      <c r="P492" s="437"/>
      <c r="Q492" s="437"/>
      <c r="R492" s="437"/>
      <c r="S492" s="437"/>
      <c r="T492" s="437"/>
      <c r="U492" s="437"/>
      <c r="V492" s="437"/>
      <c r="W492" s="437"/>
      <c r="X492" s="437"/>
      <c r="Y492" s="437"/>
      <c r="Z492" s="426">
        <f ca="1" t="shared" si="66"/>
        <v>472.112121212119</v>
      </c>
    </row>
    <row r="493" spans="4:26">
      <c r="D493" s="3">
        <v>256</v>
      </c>
      <c r="E493" s="426">
        <f ca="1" t="shared" si="64"/>
        <v>475</v>
      </c>
      <c r="F493" s="436">
        <v>1.07</v>
      </c>
      <c r="G493" s="436"/>
      <c r="H493" s="427">
        <f t="shared" si="65"/>
        <v>21364379242</v>
      </c>
      <c r="I493" s="428">
        <f t="shared" si="63"/>
        <v>0</v>
      </c>
      <c r="J493" s="437"/>
      <c r="K493" s="437"/>
      <c r="L493" s="437"/>
      <c r="M493" s="437"/>
      <c r="N493" s="437"/>
      <c r="O493" s="437"/>
      <c r="P493" s="437"/>
      <c r="Q493" s="437"/>
      <c r="R493" s="437"/>
      <c r="S493" s="437"/>
      <c r="T493" s="437"/>
      <c r="U493" s="437"/>
      <c r="V493" s="437"/>
      <c r="W493" s="437"/>
      <c r="X493" s="437"/>
      <c r="Y493" s="437"/>
      <c r="Z493" s="426">
        <f ca="1" t="shared" si="66"/>
        <v>475.142424242422</v>
      </c>
    </row>
    <row r="494" spans="4:26">
      <c r="D494" s="3">
        <v>257</v>
      </c>
      <c r="E494" s="426">
        <f ca="1" t="shared" si="64"/>
        <v>478</v>
      </c>
      <c r="F494" s="436">
        <v>1.07</v>
      </c>
      <c r="G494" s="436"/>
      <c r="H494" s="427">
        <f t="shared" si="65"/>
        <v>22859885788</v>
      </c>
      <c r="I494" s="428">
        <f t="shared" ref="I494:I537" si="67">(J494+Q494)*K494*L494*M494*N494*O494*P494*R494*S494*T494*U494*V494*Y494/H494</f>
        <v>0</v>
      </c>
      <c r="J494" s="437"/>
      <c r="K494" s="437"/>
      <c r="L494" s="437"/>
      <c r="M494" s="437"/>
      <c r="N494" s="437"/>
      <c r="O494" s="437"/>
      <c r="P494" s="437"/>
      <c r="Q494" s="437"/>
      <c r="R494" s="437"/>
      <c r="S494" s="437"/>
      <c r="T494" s="437"/>
      <c r="U494" s="437"/>
      <c r="V494" s="437"/>
      <c r="W494" s="437"/>
      <c r="X494" s="437"/>
      <c r="Y494" s="437"/>
      <c r="Z494" s="426">
        <f ca="1" t="shared" si="66"/>
        <v>478.172727272725</v>
      </c>
    </row>
    <row r="495" spans="4:26">
      <c r="D495" s="3">
        <v>258</v>
      </c>
      <c r="E495" s="426">
        <f ca="1" t="shared" ref="E495:E558" si="68">INT(Z495)</f>
        <v>481</v>
      </c>
      <c r="F495" s="436">
        <v>1.07</v>
      </c>
      <c r="G495" s="436"/>
      <c r="H495" s="427">
        <f t="shared" ref="H495:H558" si="69">INT(H494*F495)</f>
        <v>24460077793</v>
      </c>
      <c r="I495" s="428">
        <f t="shared" si="67"/>
        <v>0</v>
      </c>
      <c r="J495" s="437"/>
      <c r="K495" s="437"/>
      <c r="L495" s="437"/>
      <c r="M495" s="437"/>
      <c r="N495" s="437"/>
      <c r="O495" s="437"/>
      <c r="P495" s="437"/>
      <c r="Q495" s="437"/>
      <c r="R495" s="437"/>
      <c r="S495" s="437"/>
      <c r="T495" s="437"/>
      <c r="U495" s="437"/>
      <c r="V495" s="437"/>
      <c r="W495" s="437"/>
      <c r="X495" s="437"/>
      <c r="Y495" s="437"/>
      <c r="Z495" s="426">
        <f ca="1" t="shared" ref="Z495:Z530" si="70">Z494+1/OFFSET($F$63,IFERROR(MATCH(D494,$E$149:$E$181,1)+1,1),0)</f>
        <v>481.203030303028</v>
      </c>
    </row>
    <row r="496" spans="4:26">
      <c r="D496" s="3">
        <v>259</v>
      </c>
      <c r="E496" s="426">
        <f ca="1" t="shared" si="68"/>
        <v>484</v>
      </c>
      <c r="F496" s="436">
        <v>1.07</v>
      </c>
      <c r="G496" s="436"/>
      <c r="H496" s="427">
        <f t="shared" si="69"/>
        <v>26172283238</v>
      </c>
      <c r="I496" s="428">
        <f t="shared" si="67"/>
        <v>0</v>
      </c>
      <c r="J496" s="437"/>
      <c r="K496" s="437"/>
      <c r="L496" s="437"/>
      <c r="M496" s="437"/>
      <c r="N496" s="437"/>
      <c r="O496" s="437"/>
      <c r="P496" s="437"/>
      <c r="Q496" s="437"/>
      <c r="R496" s="437"/>
      <c r="S496" s="437"/>
      <c r="T496" s="437"/>
      <c r="U496" s="437"/>
      <c r="V496" s="437"/>
      <c r="W496" s="437"/>
      <c r="X496" s="437"/>
      <c r="Y496" s="437"/>
      <c r="Z496" s="426">
        <f ca="1" t="shared" si="70"/>
        <v>484.233333333331</v>
      </c>
    </row>
    <row r="497" spans="4:26">
      <c r="D497" s="3">
        <v>260</v>
      </c>
      <c r="E497" s="426">
        <f ca="1" t="shared" si="68"/>
        <v>487</v>
      </c>
      <c r="F497" s="436">
        <v>1.07</v>
      </c>
      <c r="G497" s="436"/>
      <c r="H497" s="427">
        <f t="shared" si="69"/>
        <v>28004343064</v>
      </c>
      <c r="I497" s="428">
        <f t="shared" si="67"/>
        <v>0</v>
      </c>
      <c r="J497" s="437"/>
      <c r="K497" s="437"/>
      <c r="L497" s="437"/>
      <c r="M497" s="437"/>
      <c r="N497" s="437"/>
      <c r="O497" s="437"/>
      <c r="P497" s="437"/>
      <c r="Q497" s="437"/>
      <c r="R497" s="437"/>
      <c r="S497" s="437"/>
      <c r="T497" s="437"/>
      <c r="U497" s="437"/>
      <c r="V497" s="437"/>
      <c r="W497" s="437"/>
      <c r="X497" s="437"/>
      <c r="Y497" s="437"/>
      <c r="Z497" s="426">
        <f ca="1" t="shared" si="70"/>
        <v>487.263636363634</v>
      </c>
    </row>
    <row r="498" spans="4:26">
      <c r="D498" s="3">
        <v>261</v>
      </c>
      <c r="E498" s="426">
        <f ca="1" t="shared" si="68"/>
        <v>490</v>
      </c>
      <c r="F498" s="436">
        <v>1.07</v>
      </c>
      <c r="G498" s="436"/>
      <c r="H498" s="427">
        <f t="shared" si="69"/>
        <v>29964647078</v>
      </c>
      <c r="I498" s="428">
        <f t="shared" si="67"/>
        <v>0</v>
      </c>
      <c r="J498" s="437"/>
      <c r="K498" s="437"/>
      <c r="L498" s="437"/>
      <c r="M498" s="437"/>
      <c r="N498" s="437"/>
      <c r="O498" s="437"/>
      <c r="P498" s="437"/>
      <c r="Q498" s="437"/>
      <c r="R498" s="437"/>
      <c r="S498" s="437"/>
      <c r="T498" s="437"/>
      <c r="U498" s="437"/>
      <c r="V498" s="437"/>
      <c r="W498" s="437"/>
      <c r="X498" s="437"/>
      <c r="Y498" s="437"/>
      <c r="Z498" s="426">
        <f ca="1" t="shared" si="70"/>
        <v>490.293939393937</v>
      </c>
    </row>
    <row r="499" spans="4:26">
      <c r="D499" s="3">
        <v>262</v>
      </c>
      <c r="E499" s="426">
        <f ca="1" t="shared" si="68"/>
        <v>493</v>
      </c>
      <c r="F499" s="436">
        <v>1.07</v>
      </c>
      <c r="G499" s="436"/>
      <c r="H499" s="427">
        <f t="shared" si="69"/>
        <v>32062172373</v>
      </c>
      <c r="I499" s="428">
        <f t="shared" si="67"/>
        <v>0</v>
      </c>
      <c r="J499" s="437"/>
      <c r="K499" s="437"/>
      <c r="L499" s="437"/>
      <c r="M499" s="437"/>
      <c r="N499" s="437"/>
      <c r="O499" s="437"/>
      <c r="P499" s="437"/>
      <c r="Q499" s="437"/>
      <c r="R499" s="437"/>
      <c r="S499" s="437"/>
      <c r="T499" s="437"/>
      <c r="U499" s="437"/>
      <c r="V499" s="437"/>
      <c r="W499" s="437"/>
      <c r="X499" s="437"/>
      <c r="Y499" s="437"/>
      <c r="Z499" s="426">
        <f ca="1" t="shared" si="70"/>
        <v>493.32424242424</v>
      </c>
    </row>
    <row r="500" spans="4:26">
      <c r="D500" s="3">
        <v>263</v>
      </c>
      <c r="E500" s="426">
        <f ca="1" t="shared" si="68"/>
        <v>496</v>
      </c>
      <c r="F500" s="436">
        <v>1.07</v>
      </c>
      <c r="G500" s="436"/>
      <c r="H500" s="427">
        <f t="shared" si="69"/>
        <v>34306524439</v>
      </c>
      <c r="I500" s="428">
        <f t="shared" si="67"/>
        <v>0</v>
      </c>
      <c r="J500" s="437"/>
      <c r="K500" s="437"/>
      <c r="L500" s="437"/>
      <c r="M500" s="437"/>
      <c r="N500" s="437"/>
      <c r="O500" s="437"/>
      <c r="P500" s="437"/>
      <c r="Q500" s="437"/>
      <c r="R500" s="437"/>
      <c r="S500" s="437"/>
      <c r="T500" s="437"/>
      <c r="U500" s="437"/>
      <c r="V500" s="437"/>
      <c r="W500" s="437"/>
      <c r="X500" s="437"/>
      <c r="Y500" s="437"/>
      <c r="Z500" s="426">
        <f ca="1" t="shared" si="70"/>
        <v>496.354545454543</v>
      </c>
    </row>
    <row r="501" spans="4:26">
      <c r="D501" s="3">
        <v>264</v>
      </c>
      <c r="E501" s="426">
        <f ca="1" t="shared" si="68"/>
        <v>499</v>
      </c>
      <c r="F501" s="436">
        <v>1.07</v>
      </c>
      <c r="G501" s="436"/>
      <c r="H501" s="427">
        <f t="shared" si="69"/>
        <v>36707981149</v>
      </c>
      <c r="I501" s="428">
        <f t="shared" si="67"/>
        <v>0</v>
      </c>
      <c r="J501" s="437"/>
      <c r="K501" s="437"/>
      <c r="L501" s="437"/>
      <c r="M501" s="437"/>
      <c r="N501" s="437"/>
      <c r="O501" s="437"/>
      <c r="P501" s="437"/>
      <c r="Q501" s="437"/>
      <c r="R501" s="437"/>
      <c r="S501" s="437"/>
      <c r="T501" s="437"/>
      <c r="U501" s="437"/>
      <c r="V501" s="437"/>
      <c r="W501" s="437"/>
      <c r="X501" s="437"/>
      <c r="Y501" s="437"/>
      <c r="Z501" s="426">
        <f ca="1" t="shared" si="70"/>
        <v>499.384848484846</v>
      </c>
    </row>
    <row r="502" spans="4:26">
      <c r="D502" s="3">
        <v>265</v>
      </c>
      <c r="E502" s="426">
        <f ca="1" t="shared" si="68"/>
        <v>502</v>
      </c>
      <c r="F502" s="436">
        <v>1.07</v>
      </c>
      <c r="G502" s="436"/>
      <c r="H502" s="427">
        <f t="shared" si="69"/>
        <v>39277539829</v>
      </c>
      <c r="I502" s="428">
        <f t="shared" si="67"/>
        <v>0</v>
      </c>
      <c r="J502" s="437"/>
      <c r="K502" s="437"/>
      <c r="L502" s="437"/>
      <c r="M502" s="437"/>
      <c r="N502" s="437"/>
      <c r="O502" s="437"/>
      <c r="P502" s="437"/>
      <c r="Q502" s="437"/>
      <c r="R502" s="437"/>
      <c r="S502" s="437"/>
      <c r="T502" s="437"/>
      <c r="U502" s="437"/>
      <c r="V502" s="437"/>
      <c r="W502" s="437"/>
      <c r="X502" s="437"/>
      <c r="Y502" s="437"/>
      <c r="Z502" s="426">
        <f ca="1" t="shared" si="70"/>
        <v>502.415151515149</v>
      </c>
    </row>
    <row r="503" spans="4:26">
      <c r="D503" s="3">
        <v>266</v>
      </c>
      <c r="E503" s="426">
        <f ca="1" t="shared" si="68"/>
        <v>505</v>
      </c>
      <c r="F503" s="436">
        <v>1.07</v>
      </c>
      <c r="G503" s="436"/>
      <c r="H503" s="427">
        <f t="shared" si="69"/>
        <v>42026967617</v>
      </c>
      <c r="I503" s="428">
        <f t="shared" si="67"/>
        <v>0</v>
      </c>
      <c r="J503" s="437"/>
      <c r="K503" s="437"/>
      <c r="L503" s="437"/>
      <c r="M503" s="437"/>
      <c r="N503" s="437"/>
      <c r="O503" s="437"/>
      <c r="P503" s="437"/>
      <c r="Q503" s="437"/>
      <c r="R503" s="437"/>
      <c r="S503" s="437"/>
      <c r="T503" s="437"/>
      <c r="U503" s="437"/>
      <c r="V503" s="437"/>
      <c r="W503" s="437"/>
      <c r="X503" s="437"/>
      <c r="Y503" s="437"/>
      <c r="Z503" s="426">
        <f ca="1" t="shared" si="70"/>
        <v>505.445454545452</v>
      </c>
    </row>
    <row r="504" spans="4:26">
      <c r="D504" s="3">
        <v>267</v>
      </c>
      <c r="E504" s="426">
        <f ca="1" t="shared" si="68"/>
        <v>508</v>
      </c>
      <c r="F504" s="436">
        <v>1.07</v>
      </c>
      <c r="G504" s="436"/>
      <c r="H504" s="427">
        <f t="shared" si="69"/>
        <v>44968855350</v>
      </c>
      <c r="I504" s="428">
        <f t="shared" si="67"/>
        <v>0</v>
      </c>
      <c r="J504" s="437"/>
      <c r="K504" s="437"/>
      <c r="L504" s="437"/>
      <c r="M504" s="437"/>
      <c r="N504" s="437"/>
      <c r="O504" s="437"/>
      <c r="P504" s="437"/>
      <c r="Q504" s="437"/>
      <c r="R504" s="437"/>
      <c r="S504" s="437"/>
      <c r="T504" s="437"/>
      <c r="U504" s="437"/>
      <c r="V504" s="437"/>
      <c r="W504" s="437"/>
      <c r="X504" s="437"/>
      <c r="Y504" s="437"/>
      <c r="Z504" s="426">
        <f ca="1" t="shared" si="70"/>
        <v>508.475757575755</v>
      </c>
    </row>
    <row r="505" spans="4:26">
      <c r="D505" s="3">
        <v>268</v>
      </c>
      <c r="E505" s="426">
        <f ca="1" t="shared" si="68"/>
        <v>511</v>
      </c>
      <c r="F505" s="436">
        <v>1.07</v>
      </c>
      <c r="G505" s="436"/>
      <c r="H505" s="427">
        <f t="shared" si="69"/>
        <v>48116675224</v>
      </c>
      <c r="I505" s="428">
        <f t="shared" si="67"/>
        <v>0</v>
      </c>
      <c r="J505" s="437"/>
      <c r="K505" s="437"/>
      <c r="L505" s="437"/>
      <c r="M505" s="437"/>
      <c r="N505" s="437"/>
      <c r="O505" s="437"/>
      <c r="P505" s="437"/>
      <c r="Q505" s="437"/>
      <c r="R505" s="437"/>
      <c r="S505" s="437"/>
      <c r="T505" s="437"/>
      <c r="U505" s="437"/>
      <c r="V505" s="437"/>
      <c r="W505" s="437"/>
      <c r="X505" s="437"/>
      <c r="Y505" s="437"/>
      <c r="Z505" s="426">
        <f ca="1" t="shared" si="70"/>
        <v>511.506060606058</v>
      </c>
    </row>
    <row r="506" spans="4:26">
      <c r="D506" s="3">
        <v>269</v>
      </c>
      <c r="E506" s="426">
        <f ca="1" t="shared" si="68"/>
        <v>514</v>
      </c>
      <c r="F506" s="436">
        <v>1.07</v>
      </c>
      <c r="G506" s="436"/>
      <c r="H506" s="427">
        <f t="shared" si="69"/>
        <v>51484842489</v>
      </c>
      <c r="I506" s="428">
        <f t="shared" si="67"/>
        <v>0</v>
      </c>
      <c r="J506" s="437"/>
      <c r="K506" s="437"/>
      <c r="L506" s="437"/>
      <c r="M506" s="437"/>
      <c r="N506" s="437"/>
      <c r="O506" s="437"/>
      <c r="P506" s="437"/>
      <c r="Q506" s="437"/>
      <c r="R506" s="437"/>
      <c r="S506" s="437"/>
      <c r="T506" s="437"/>
      <c r="U506" s="437"/>
      <c r="V506" s="437"/>
      <c r="W506" s="437"/>
      <c r="X506" s="437"/>
      <c r="Y506" s="437"/>
      <c r="Z506" s="426">
        <f ca="1" t="shared" si="70"/>
        <v>514.536363636361</v>
      </c>
    </row>
    <row r="507" spans="4:26">
      <c r="D507" s="3">
        <v>270</v>
      </c>
      <c r="E507" s="426">
        <f ca="1" t="shared" si="68"/>
        <v>517</v>
      </c>
      <c r="F507" s="436">
        <v>1.07</v>
      </c>
      <c r="G507" s="436"/>
      <c r="H507" s="427">
        <f t="shared" si="69"/>
        <v>55088781463</v>
      </c>
      <c r="I507" s="428">
        <f t="shared" si="67"/>
        <v>0</v>
      </c>
      <c r="J507" s="437"/>
      <c r="K507" s="437"/>
      <c r="L507" s="437"/>
      <c r="M507" s="437"/>
      <c r="N507" s="437"/>
      <c r="O507" s="437"/>
      <c r="P507" s="437"/>
      <c r="Q507" s="437"/>
      <c r="R507" s="437"/>
      <c r="S507" s="437"/>
      <c r="T507" s="437"/>
      <c r="U507" s="437"/>
      <c r="V507" s="437"/>
      <c r="W507" s="437"/>
      <c r="X507" s="437"/>
      <c r="Y507" s="437"/>
      <c r="Z507" s="426">
        <f ca="1" t="shared" si="70"/>
        <v>517.566666666664</v>
      </c>
    </row>
    <row r="508" spans="4:26">
      <c r="D508" s="3">
        <v>271</v>
      </c>
      <c r="E508" s="426">
        <f ca="1" t="shared" si="68"/>
        <v>520</v>
      </c>
      <c r="F508" s="436">
        <v>1.07</v>
      </c>
      <c r="G508" s="436"/>
      <c r="H508" s="427">
        <f t="shared" si="69"/>
        <v>58944996165</v>
      </c>
      <c r="I508" s="428">
        <f t="shared" si="67"/>
        <v>0</v>
      </c>
      <c r="J508" s="437"/>
      <c r="K508" s="437"/>
      <c r="L508" s="437"/>
      <c r="M508" s="437"/>
      <c r="N508" s="437"/>
      <c r="O508" s="437"/>
      <c r="P508" s="437"/>
      <c r="Q508" s="437"/>
      <c r="R508" s="437"/>
      <c r="S508" s="437"/>
      <c r="T508" s="437"/>
      <c r="U508" s="437"/>
      <c r="V508" s="437"/>
      <c r="W508" s="437"/>
      <c r="X508" s="437"/>
      <c r="Y508" s="437"/>
      <c r="Z508" s="426">
        <f ca="1" t="shared" si="70"/>
        <v>520.596969696967</v>
      </c>
    </row>
    <row r="509" spans="4:26">
      <c r="D509" s="3">
        <v>272</v>
      </c>
      <c r="E509" s="426">
        <f ca="1" t="shared" si="68"/>
        <v>523</v>
      </c>
      <c r="F509" s="436">
        <v>1.07</v>
      </c>
      <c r="G509" s="436"/>
      <c r="H509" s="427">
        <f t="shared" si="69"/>
        <v>63071145896</v>
      </c>
      <c r="I509" s="428">
        <f t="shared" si="67"/>
        <v>0</v>
      </c>
      <c r="J509" s="437"/>
      <c r="K509" s="437"/>
      <c r="L509" s="437"/>
      <c r="M509" s="437"/>
      <c r="N509" s="437"/>
      <c r="O509" s="437"/>
      <c r="P509" s="437"/>
      <c r="Q509" s="437"/>
      <c r="R509" s="437"/>
      <c r="S509" s="437"/>
      <c r="T509" s="437"/>
      <c r="U509" s="437"/>
      <c r="V509" s="437"/>
      <c r="W509" s="437"/>
      <c r="X509" s="437"/>
      <c r="Y509" s="437"/>
      <c r="Z509" s="426">
        <f ca="1" t="shared" si="70"/>
        <v>523.62727272727</v>
      </c>
    </row>
    <row r="510" spans="4:26">
      <c r="D510" s="3">
        <v>273</v>
      </c>
      <c r="E510" s="426">
        <f ca="1" t="shared" si="68"/>
        <v>526</v>
      </c>
      <c r="F510" s="436">
        <v>1.07</v>
      </c>
      <c r="G510" s="436"/>
      <c r="H510" s="427">
        <f t="shared" si="69"/>
        <v>67486126108</v>
      </c>
      <c r="I510" s="428">
        <f t="shared" si="67"/>
        <v>0</v>
      </c>
      <c r="J510" s="437"/>
      <c r="K510" s="437"/>
      <c r="L510" s="437"/>
      <c r="M510" s="437"/>
      <c r="N510" s="437"/>
      <c r="O510" s="437"/>
      <c r="P510" s="437"/>
      <c r="Q510" s="437"/>
      <c r="R510" s="437"/>
      <c r="S510" s="437"/>
      <c r="T510" s="437"/>
      <c r="U510" s="437"/>
      <c r="V510" s="437"/>
      <c r="W510" s="437"/>
      <c r="X510" s="437"/>
      <c r="Y510" s="437"/>
      <c r="Z510" s="426">
        <f ca="1" t="shared" si="70"/>
        <v>526.657575757573</v>
      </c>
    </row>
    <row r="511" spans="4:26">
      <c r="D511" s="3">
        <v>274</v>
      </c>
      <c r="E511" s="426">
        <f ca="1" t="shared" si="68"/>
        <v>529</v>
      </c>
      <c r="F511" s="436">
        <v>1.07</v>
      </c>
      <c r="G511" s="436"/>
      <c r="H511" s="427">
        <f t="shared" si="69"/>
        <v>72210154935</v>
      </c>
      <c r="I511" s="428">
        <f t="shared" si="67"/>
        <v>0</v>
      </c>
      <c r="J511" s="437"/>
      <c r="K511" s="437"/>
      <c r="L511" s="437"/>
      <c r="M511" s="437"/>
      <c r="N511" s="437"/>
      <c r="O511" s="437"/>
      <c r="P511" s="437"/>
      <c r="Q511" s="437"/>
      <c r="R511" s="437"/>
      <c r="S511" s="437"/>
      <c r="T511" s="437"/>
      <c r="U511" s="437"/>
      <c r="V511" s="437"/>
      <c r="W511" s="437"/>
      <c r="X511" s="437"/>
      <c r="Y511" s="437"/>
      <c r="Z511" s="426">
        <f ca="1" t="shared" si="70"/>
        <v>529.687878787876</v>
      </c>
    </row>
    <row r="512" spans="4:26">
      <c r="D512" s="3">
        <v>275</v>
      </c>
      <c r="E512" s="426">
        <f ca="1" t="shared" si="68"/>
        <v>532</v>
      </c>
      <c r="F512" s="436">
        <v>1.07</v>
      </c>
      <c r="G512" s="436"/>
      <c r="H512" s="427">
        <f t="shared" si="69"/>
        <v>77264865780</v>
      </c>
      <c r="I512" s="428">
        <f t="shared" si="67"/>
        <v>0</v>
      </c>
      <c r="J512" s="437"/>
      <c r="K512" s="437"/>
      <c r="L512" s="437"/>
      <c r="M512" s="437"/>
      <c r="N512" s="437"/>
      <c r="O512" s="437"/>
      <c r="P512" s="437"/>
      <c r="Q512" s="437"/>
      <c r="R512" s="437"/>
      <c r="S512" s="437"/>
      <c r="T512" s="437"/>
      <c r="U512" s="437"/>
      <c r="V512" s="437"/>
      <c r="W512" s="437"/>
      <c r="X512" s="437"/>
      <c r="Y512" s="437"/>
      <c r="Z512" s="426">
        <f ca="1" t="shared" si="70"/>
        <v>532.718181818179</v>
      </c>
    </row>
    <row r="513" spans="4:26">
      <c r="D513" s="3">
        <v>276</v>
      </c>
      <c r="E513" s="426">
        <f ca="1" t="shared" si="68"/>
        <v>535</v>
      </c>
      <c r="F513" s="436">
        <v>1.07</v>
      </c>
      <c r="G513" s="436"/>
      <c r="H513" s="427">
        <f t="shared" si="69"/>
        <v>82673406384</v>
      </c>
      <c r="I513" s="428">
        <f t="shared" si="67"/>
        <v>0</v>
      </c>
      <c r="J513" s="437"/>
      <c r="K513" s="437"/>
      <c r="L513" s="437"/>
      <c r="M513" s="437"/>
      <c r="N513" s="437"/>
      <c r="O513" s="437"/>
      <c r="P513" s="437"/>
      <c r="Q513" s="437"/>
      <c r="R513" s="437"/>
      <c r="S513" s="437"/>
      <c r="T513" s="437"/>
      <c r="U513" s="437"/>
      <c r="V513" s="437"/>
      <c r="W513" s="437"/>
      <c r="X513" s="437"/>
      <c r="Y513" s="437"/>
      <c r="Z513" s="426">
        <f ca="1" t="shared" si="70"/>
        <v>535.748484848482</v>
      </c>
    </row>
    <row r="514" spans="4:26">
      <c r="D514" s="3">
        <v>277</v>
      </c>
      <c r="E514" s="426">
        <f ca="1" t="shared" si="68"/>
        <v>538</v>
      </c>
      <c r="F514" s="436">
        <v>1.07</v>
      </c>
      <c r="G514" s="436"/>
      <c r="H514" s="427">
        <f t="shared" si="69"/>
        <v>88460544830</v>
      </c>
      <c r="I514" s="428">
        <f t="shared" si="67"/>
        <v>0</v>
      </c>
      <c r="J514" s="437"/>
      <c r="K514" s="437"/>
      <c r="L514" s="437"/>
      <c r="M514" s="437"/>
      <c r="N514" s="437"/>
      <c r="O514" s="437"/>
      <c r="P514" s="437"/>
      <c r="Q514" s="437"/>
      <c r="R514" s="437"/>
      <c r="S514" s="437"/>
      <c r="T514" s="437"/>
      <c r="U514" s="437"/>
      <c r="V514" s="437"/>
      <c r="W514" s="437"/>
      <c r="X514" s="437"/>
      <c r="Y514" s="437"/>
      <c r="Z514" s="426">
        <f ca="1" t="shared" si="70"/>
        <v>538.778787878785</v>
      </c>
    </row>
    <row r="515" spans="4:26">
      <c r="D515" s="3">
        <v>278</v>
      </c>
      <c r="E515" s="426">
        <f ca="1" t="shared" si="68"/>
        <v>541</v>
      </c>
      <c r="F515" s="436">
        <v>1.07</v>
      </c>
      <c r="G515" s="436"/>
      <c r="H515" s="427">
        <f t="shared" si="69"/>
        <v>94652782968</v>
      </c>
      <c r="I515" s="428">
        <f t="shared" si="67"/>
        <v>0</v>
      </c>
      <c r="J515" s="437"/>
      <c r="K515" s="437"/>
      <c r="L515" s="437"/>
      <c r="M515" s="437"/>
      <c r="N515" s="437"/>
      <c r="O515" s="437"/>
      <c r="P515" s="437"/>
      <c r="Q515" s="437"/>
      <c r="R515" s="437"/>
      <c r="S515" s="437"/>
      <c r="T515" s="437"/>
      <c r="U515" s="437"/>
      <c r="V515" s="437"/>
      <c r="W515" s="437"/>
      <c r="X515" s="437"/>
      <c r="Y515" s="437"/>
      <c r="Z515" s="426">
        <f ca="1" t="shared" si="70"/>
        <v>541.809090909088</v>
      </c>
    </row>
    <row r="516" spans="4:26">
      <c r="D516" s="3">
        <v>279</v>
      </c>
      <c r="E516" s="426">
        <f ca="1" t="shared" si="68"/>
        <v>544</v>
      </c>
      <c r="F516" s="436">
        <v>1.07</v>
      </c>
      <c r="G516" s="436"/>
      <c r="H516" s="427">
        <f t="shared" si="69"/>
        <v>101278477775</v>
      </c>
      <c r="I516" s="428">
        <f t="shared" si="67"/>
        <v>0</v>
      </c>
      <c r="J516" s="437"/>
      <c r="K516" s="437"/>
      <c r="L516" s="437"/>
      <c r="M516" s="437"/>
      <c r="N516" s="437"/>
      <c r="O516" s="437"/>
      <c r="P516" s="437"/>
      <c r="Q516" s="437"/>
      <c r="R516" s="437"/>
      <c r="S516" s="437"/>
      <c r="T516" s="437"/>
      <c r="U516" s="437"/>
      <c r="V516" s="437"/>
      <c r="W516" s="437"/>
      <c r="X516" s="437"/>
      <c r="Y516" s="437"/>
      <c r="Z516" s="426">
        <f ca="1" t="shared" si="70"/>
        <v>544.839393939391</v>
      </c>
    </row>
    <row r="517" spans="4:26">
      <c r="D517" s="3">
        <v>280</v>
      </c>
      <c r="E517" s="426">
        <f ca="1" t="shared" si="68"/>
        <v>547</v>
      </c>
      <c r="F517" s="436">
        <v>1.07</v>
      </c>
      <c r="G517" s="436"/>
      <c r="H517" s="427">
        <f t="shared" si="69"/>
        <v>108367971219</v>
      </c>
      <c r="I517" s="428">
        <f t="shared" si="67"/>
        <v>0</v>
      </c>
      <c r="J517" s="437"/>
      <c r="K517" s="437"/>
      <c r="L517" s="437"/>
      <c r="M517" s="437"/>
      <c r="N517" s="437"/>
      <c r="O517" s="437"/>
      <c r="P517" s="437"/>
      <c r="Q517" s="437"/>
      <c r="R517" s="437"/>
      <c r="S517" s="437"/>
      <c r="T517" s="437"/>
      <c r="U517" s="437"/>
      <c r="V517" s="437"/>
      <c r="W517" s="437"/>
      <c r="X517" s="437"/>
      <c r="Y517" s="437"/>
      <c r="Z517" s="426">
        <f ca="1" t="shared" si="70"/>
        <v>547.869696969694</v>
      </c>
    </row>
    <row r="518" spans="4:26">
      <c r="D518" s="3">
        <v>281</v>
      </c>
      <c r="E518" s="426">
        <f ca="1" t="shared" si="68"/>
        <v>550</v>
      </c>
      <c r="F518" s="436">
        <v>1.07</v>
      </c>
      <c r="G518" s="436"/>
      <c r="H518" s="427">
        <f t="shared" si="69"/>
        <v>115953729204</v>
      </c>
      <c r="I518" s="428">
        <f t="shared" si="67"/>
        <v>0</v>
      </c>
      <c r="J518" s="437"/>
      <c r="K518" s="437"/>
      <c r="L518" s="437"/>
      <c r="M518" s="437"/>
      <c r="N518" s="437"/>
      <c r="O518" s="437"/>
      <c r="P518" s="437"/>
      <c r="Q518" s="437"/>
      <c r="R518" s="437"/>
      <c r="S518" s="437"/>
      <c r="T518" s="437"/>
      <c r="U518" s="437"/>
      <c r="V518" s="437"/>
      <c r="W518" s="437"/>
      <c r="X518" s="437"/>
      <c r="Y518" s="437"/>
      <c r="Z518" s="426">
        <f ca="1" t="shared" si="70"/>
        <v>550.899999999997</v>
      </c>
    </row>
    <row r="519" spans="4:26">
      <c r="D519" s="3">
        <v>282</v>
      </c>
      <c r="E519" s="426">
        <f ca="1" t="shared" si="68"/>
        <v>553</v>
      </c>
      <c r="F519" s="436">
        <v>1.07</v>
      </c>
      <c r="G519" s="436"/>
      <c r="H519" s="427">
        <f t="shared" si="69"/>
        <v>124070490248</v>
      </c>
      <c r="I519" s="428">
        <f t="shared" si="67"/>
        <v>0</v>
      </c>
      <c r="J519" s="437"/>
      <c r="K519" s="437"/>
      <c r="L519" s="437"/>
      <c r="M519" s="437"/>
      <c r="N519" s="437"/>
      <c r="O519" s="437"/>
      <c r="P519" s="437"/>
      <c r="Q519" s="437"/>
      <c r="R519" s="437"/>
      <c r="S519" s="437"/>
      <c r="T519" s="437"/>
      <c r="U519" s="437"/>
      <c r="V519" s="437"/>
      <c r="W519" s="437"/>
      <c r="X519" s="437"/>
      <c r="Y519" s="437"/>
      <c r="Z519" s="426">
        <f ca="1" t="shared" si="70"/>
        <v>553.9303030303</v>
      </c>
    </row>
    <row r="520" spans="4:26">
      <c r="D520" s="3">
        <v>283</v>
      </c>
      <c r="E520" s="426">
        <f ca="1" t="shared" si="68"/>
        <v>556</v>
      </c>
      <c r="F520" s="436">
        <v>1.07</v>
      </c>
      <c r="G520" s="436"/>
      <c r="H520" s="427">
        <f t="shared" si="69"/>
        <v>132755424565</v>
      </c>
      <c r="I520" s="428">
        <f t="shared" si="67"/>
        <v>0</v>
      </c>
      <c r="J520" s="437"/>
      <c r="K520" s="437"/>
      <c r="L520" s="437"/>
      <c r="M520" s="437"/>
      <c r="N520" s="437"/>
      <c r="O520" s="437"/>
      <c r="P520" s="437"/>
      <c r="Q520" s="437"/>
      <c r="R520" s="437"/>
      <c r="S520" s="437"/>
      <c r="T520" s="437"/>
      <c r="U520" s="437"/>
      <c r="V520" s="437"/>
      <c r="W520" s="437"/>
      <c r="X520" s="437"/>
      <c r="Y520" s="437"/>
      <c r="Z520" s="426">
        <f ca="1" t="shared" si="70"/>
        <v>556.960606060603</v>
      </c>
    </row>
    <row r="521" spans="4:26">
      <c r="D521" s="3">
        <v>284</v>
      </c>
      <c r="E521" s="426">
        <f ca="1" t="shared" si="68"/>
        <v>559</v>
      </c>
      <c r="F521" s="436">
        <v>1.07</v>
      </c>
      <c r="G521" s="436"/>
      <c r="H521" s="427">
        <f t="shared" si="69"/>
        <v>142048304284</v>
      </c>
      <c r="I521" s="428">
        <f t="shared" si="67"/>
        <v>0</v>
      </c>
      <c r="J521" s="437"/>
      <c r="K521" s="437"/>
      <c r="L521" s="437"/>
      <c r="M521" s="437"/>
      <c r="N521" s="437"/>
      <c r="O521" s="437"/>
      <c r="P521" s="437"/>
      <c r="Q521" s="437"/>
      <c r="R521" s="437"/>
      <c r="S521" s="437"/>
      <c r="T521" s="437"/>
      <c r="U521" s="437"/>
      <c r="V521" s="437"/>
      <c r="W521" s="437"/>
      <c r="X521" s="437"/>
      <c r="Y521" s="437"/>
      <c r="Z521" s="426">
        <f ca="1" t="shared" si="70"/>
        <v>559.990909090906</v>
      </c>
    </row>
    <row r="522" spans="4:26">
      <c r="D522" s="3">
        <v>285</v>
      </c>
      <c r="E522" s="426">
        <f ca="1" t="shared" si="68"/>
        <v>563</v>
      </c>
      <c r="F522" s="436">
        <v>1.07</v>
      </c>
      <c r="G522" s="436"/>
      <c r="H522" s="427">
        <f t="shared" si="69"/>
        <v>151991685583</v>
      </c>
      <c r="I522" s="428">
        <f t="shared" si="67"/>
        <v>0</v>
      </c>
      <c r="J522" s="437"/>
      <c r="K522" s="437"/>
      <c r="L522" s="437"/>
      <c r="M522" s="437"/>
      <c r="N522" s="437"/>
      <c r="O522" s="437"/>
      <c r="P522" s="437"/>
      <c r="Q522" s="437"/>
      <c r="R522" s="437"/>
      <c r="S522" s="437"/>
      <c r="T522" s="437"/>
      <c r="U522" s="437"/>
      <c r="V522" s="437"/>
      <c r="W522" s="437"/>
      <c r="X522" s="437"/>
      <c r="Y522" s="437"/>
      <c r="Z522" s="426">
        <f ca="1" t="shared" si="70"/>
        <v>563.021212121209</v>
      </c>
    </row>
    <row r="523" spans="4:26">
      <c r="D523" s="3">
        <v>286</v>
      </c>
      <c r="E523" s="426">
        <f ca="1" t="shared" si="68"/>
        <v>566</v>
      </c>
      <c r="F523" s="436">
        <v>1.07</v>
      </c>
      <c r="G523" s="436"/>
      <c r="H523" s="427">
        <f t="shared" si="69"/>
        <v>162631103573</v>
      </c>
      <c r="I523" s="428">
        <f t="shared" si="67"/>
        <v>0</v>
      </c>
      <c r="J523" s="437"/>
      <c r="K523" s="437"/>
      <c r="L523" s="437"/>
      <c r="M523" s="437"/>
      <c r="N523" s="437"/>
      <c r="O523" s="437"/>
      <c r="P523" s="437"/>
      <c r="Q523" s="437"/>
      <c r="R523" s="437"/>
      <c r="S523" s="437"/>
      <c r="T523" s="437"/>
      <c r="U523" s="437"/>
      <c r="V523" s="437"/>
      <c r="W523" s="437"/>
      <c r="X523" s="437"/>
      <c r="Y523" s="437"/>
      <c r="Z523" s="426">
        <f ca="1" t="shared" si="70"/>
        <v>566.051515151512</v>
      </c>
    </row>
    <row r="524" spans="4:26">
      <c r="D524" s="3">
        <v>287</v>
      </c>
      <c r="E524" s="426">
        <f ca="1" t="shared" si="68"/>
        <v>569</v>
      </c>
      <c r="F524" s="436">
        <v>1.07</v>
      </c>
      <c r="G524" s="436"/>
      <c r="H524" s="427">
        <f t="shared" si="69"/>
        <v>174015280823</v>
      </c>
      <c r="I524" s="428">
        <f t="shared" si="67"/>
        <v>0</v>
      </c>
      <c r="J524" s="437"/>
      <c r="K524" s="437"/>
      <c r="L524" s="437"/>
      <c r="M524" s="437"/>
      <c r="N524" s="437"/>
      <c r="O524" s="437"/>
      <c r="P524" s="437"/>
      <c r="Q524" s="437"/>
      <c r="R524" s="437"/>
      <c r="S524" s="437"/>
      <c r="T524" s="437"/>
      <c r="U524" s="437"/>
      <c r="V524" s="437"/>
      <c r="W524" s="437"/>
      <c r="X524" s="437"/>
      <c r="Y524" s="437"/>
      <c r="Z524" s="426">
        <f ca="1" t="shared" si="70"/>
        <v>569.081818181815</v>
      </c>
    </row>
    <row r="525" spans="4:26">
      <c r="D525" s="3">
        <v>288</v>
      </c>
      <c r="E525" s="426">
        <f ca="1" t="shared" si="68"/>
        <v>572</v>
      </c>
      <c r="F525" s="436">
        <v>1.07</v>
      </c>
      <c r="G525" s="436"/>
      <c r="H525" s="427">
        <f t="shared" si="69"/>
        <v>186196350480</v>
      </c>
      <c r="I525" s="428">
        <f t="shared" si="67"/>
        <v>0</v>
      </c>
      <c r="J525" s="437"/>
      <c r="K525" s="437"/>
      <c r="L525" s="437"/>
      <c r="M525" s="437"/>
      <c r="N525" s="437"/>
      <c r="O525" s="437"/>
      <c r="P525" s="437"/>
      <c r="Q525" s="437"/>
      <c r="R525" s="437"/>
      <c r="S525" s="437"/>
      <c r="T525" s="437"/>
      <c r="U525" s="437"/>
      <c r="V525" s="437"/>
      <c r="W525" s="437"/>
      <c r="X525" s="437"/>
      <c r="Y525" s="437"/>
      <c r="Z525" s="426">
        <f ca="1" t="shared" si="70"/>
        <v>572.112121212118</v>
      </c>
    </row>
    <row r="526" spans="4:26">
      <c r="D526" s="3">
        <v>289</v>
      </c>
      <c r="E526" s="426">
        <f ca="1" t="shared" si="68"/>
        <v>575</v>
      </c>
      <c r="F526" s="436">
        <v>1.07</v>
      </c>
      <c r="G526" s="436"/>
      <c r="H526" s="427">
        <f t="shared" si="69"/>
        <v>199230095013</v>
      </c>
      <c r="I526" s="428">
        <f t="shared" si="67"/>
        <v>0</v>
      </c>
      <c r="J526" s="437"/>
      <c r="K526" s="437"/>
      <c r="L526" s="437"/>
      <c r="M526" s="437"/>
      <c r="N526" s="437"/>
      <c r="O526" s="437"/>
      <c r="P526" s="437"/>
      <c r="Q526" s="437"/>
      <c r="R526" s="437"/>
      <c r="S526" s="437"/>
      <c r="T526" s="437"/>
      <c r="U526" s="437"/>
      <c r="V526" s="437"/>
      <c r="W526" s="437"/>
      <c r="X526" s="437"/>
      <c r="Y526" s="437"/>
      <c r="Z526" s="426">
        <f ca="1" t="shared" si="70"/>
        <v>575.142424242421</v>
      </c>
    </row>
    <row r="527" spans="4:26">
      <c r="D527" s="3">
        <v>290</v>
      </c>
      <c r="E527" s="426">
        <f ca="1" t="shared" si="68"/>
        <v>578</v>
      </c>
      <c r="F527" s="436">
        <v>1.07</v>
      </c>
      <c r="G527" s="436"/>
      <c r="H527" s="427">
        <f t="shared" si="69"/>
        <v>213176201663</v>
      </c>
      <c r="I527" s="428">
        <f t="shared" si="67"/>
        <v>0</v>
      </c>
      <c r="J527" s="437"/>
      <c r="K527" s="437"/>
      <c r="L527" s="437"/>
      <c r="M527" s="437"/>
      <c r="N527" s="437"/>
      <c r="O527" s="437"/>
      <c r="P527" s="437"/>
      <c r="Q527" s="437"/>
      <c r="R527" s="437"/>
      <c r="S527" s="437"/>
      <c r="T527" s="437"/>
      <c r="U527" s="437"/>
      <c r="V527" s="437"/>
      <c r="W527" s="437"/>
      <c r="X527" s="437"/>
      <c r="Y527" s="437"/>
      <c r="Z527" s="426">
        <f ca="1" t="shared" si="70"/>
        <v>578.172727272724</v>
      </c>
    </row>
    <row r="528" spans="4:26">
      <c r="D528" s="3">
        <v>291</v>
      </c>
      <c r="E528" s="426">
        <f ca="1" t="shared" si="68"/>
        <v>581</v>
      </c>
      <c r="F528" s="436">
        <v>1.07</v>
      </c>
      <c r="G528" s="436"/>
      <c r="H528" s="427">
        <f t="shared" si="69"/>
        <v>228098535779</v>
      </c>
      <c r="I528" s="428">
        <f t="shared" si="67"/>
        <v>0</v>
      </c>
      <c r="J528" s="437"/>
      <c r="K528" s="437"/>
      <c r="L528" s="437"/>
      <c r="M528" s="437"/>
      <c r="N528" s="437"/>
      <c r="O528" s="437"/>
      <c r="P528" s="437"/>
      <c r="Q528" s="437"/>
      <c r="R528" s="437"/>
      <c r="S528" s="437"/>
      <c r="T528" s="437"/>
      <c r="U528" s="437"/>
      <c r="V528" s="437"/>
      <c r="W528" s="437"/>
      <c r="X528" s="437"/>
      <c r="Y528" s="437"/>
      <c r="Z528" s="426">
        <f ca="1" t="shared" si="70"/>
        <v>581.203030303027</v>
      </c>
    </row>
    <row r="529" spans="4:26">
      <c r="D529" s="3">
        <v>292</v>
      </c>
      <c r="E529" s="426">
        <f ca="1" t="shared" si="68"/>
        <v>584</v>
      </c>
      <c r="F529" s="436">
        <v>1.07</v>
      </c>
      <c r="G529" s="436"/>
      <c r="H529" s="427">
        <f t="shared" si="69"/>
        <v>244065433283</v>
      </c>
      <c r="I529" s="428">
        <f t="shared" si="67"/>
        <v>0</v>
      </c>
      <c r="J529" s="437"/>
      <c r="K529" s="437"/>
      <c r="L529" s="437"/>
      <c r="M529" s="437"/>
      <c r="N529" s="437"/>
      <c r="O529" s="437"/>
      <c r="P529" s="437"/>
      <c r="Q529" s="437"/>
      <c r="R529" s="437"/>
      <c r="S529" s="437"/>
      <c r="T529" s="437"/>
      <c r="U529" s="437"/>
      <c r="V529" s="437"/>
      <c r="W529" s="437"/>
      <c r="X529" s="437"/>
      <c r="Y529" s="437"/>
      <c r="Z529" s="426">
        <f ca="1" t="shared" si="70"/>
        <v>584.23333333333</v>
      </c>
    </row>
    <row r="530" spans="4:26">
      <c r="D530" s="3">
        <v>293</v>
      </c>
      <c r="E530" s="426">
        <f ca="1" t="shared" si="68"/>
        <v>587</v>
      </c>
      <c r="F530" s="436">
        <v>1.07</v>
      </c>
      <c r="G530" s="436"/>
      <c r="H530" s="427">
        <f t="shared" si="69"/>
        <v>261150013612</v>
      </c>
      <c r="I530" s="428">
        <f t="shared" si="67"/>
        <v>0</v>
      </c>
      <c r="J530" s="437"/>
      <c r="K530" s="437"/>
      <c r="L530" s="437"/>
      <c r="M530" s="437"/>
      <c r="N530" s="437"/>
      <c r="O530" s="437"/>
      <c r="P530" s="437"/>
      <c r="Q530" s="437"/>
      <c r="R530" s="437"/>
      <c r="S530" s="437"/>
      <c r="T530" s="437"/>
      <c r="U530" s="437"/>
      <c r="V530" s="437"/>
      <c r="W530" s="437"/>
      <c r="X530" s="437"/>
      <c r="Y530" s="437"/>
      <c r="Z530" s="426">
        <f ca="1" t="shared" si="70"/>
        <v>587.263636363633</v>
      </c>
    </row>
    <row r="531" spans="4:26">
      <c r="D531" s="3">
        <v>294</v>
      </c>
      <c r="E531" s="426">
        <f ca="1" t="shared" si="68"/>
        <v>590</v>
      </c>
      <c r="F531" s="436">
        <v>1.07</v>
      </c>
      <c r="G531" s="436"/>
      <c r="H531" s="427">
        <f t="shared" si="69"/>
        <v>279430514564</v>
      </c>
      <c r="I531" s="428">
        <f t="shared" si="67"/>
        <v>0</v>
      </c>
      <c r="J531" s="437"/>
      <c r="K531" s="437"/>
      <c r="L531" s="437"/>
      <c r="M531" s="437"/>
      <c r="N531" s="437"/>
      <c r="O531" s="437"/>
      <c r="P531" s="437"/>
      <c r="Q531" s="437"/>
      <c r="R531" s="437"/>
      <c r="S531" s="437"/>
      <c r="T531" s="437"/>
      <c r="U531" s="437"/>
      <c r="V531" s="437"/>
      <c r="W531" s="437"/>
      <c r="X531" s="437"/>
      <c r="Y531" s="437"/>
      <c r="Z531" s="426">
        <f ca="1" t="shared" ref="Z531:Z594" si="71">Z530+3</f>
        <v>590.263636363633</v>
      </c>
    </row>
    <row r="532" spans="4:26">
      <c r="D532" s="3">
        <v>295</v>
      </c>
      <c r="E532" s="426">
        <f ca="1" t="shared" si="68"/>
        <v>593</v>
      </c>
      <c r="F532" s="436">
        <v>1.07</v>
      </c>
      <c r="G532" s="436"/>
      <c r="H532" s="427">
        <f t="shared" si="69"/>
        <v>298990650583</v>
      </c>
      <c r="I532" s="428">
        <f t="shared" si="67"/>
        <v>0</v>
      </c>
      <c r="J532" s="437"/>
      <c r="K532" s="437"/>
      <c r="L532" s="437"/>
      <c r="M532" s="437"/>
      <c r="N532" s="437"/>
      <c r="O532" s="437"/>
      <c r="P532" s="437"/>
      <c r="Q532" s="437"/>
      <c r="R532" s="437"/>
      <c r="S532" s="437"/>
      <c r="T532" s="437"/>
      <c r="U532" s="437"/>
      <c r="V532" s="437"/>
      <c r="W532" s="437"/>
      <c r="X532" s="437"/>
      <c r="Y532" s="437"/>
      <c r="Z532" s="426">
        <f ca="1" t="shared" si="71"/>
        <v>593.263636363633</v>
      </c>
    </row>
    <row r="533" spans="4:26">
      <c r="D533" s="3">
        <v>296</v>
      </c>
      <c r="E533" s="426">
        <f ca="1" t="shared" si="68"/>
        <v>596</v>
      </c>
      <c r="F533" s="436">
        <v>1.07</v>
      </c>
      <c r="G533" s="436"/>
      <c r="H533" s="427">
        <f t="shared" si="69"/>
        <v>319919996123</v>
      </c>
      <c r="I533" s="428">
        <f t="shared" si="67"/>
        <v>0</v>
      </c>
      <c r="J533" s="437"/>
      <c r="K533" s="437"/>
      <c r="L533" s="437"/>
      <c r="M533" s="437"/>
      <c r="N533" s="437"/>
      <c r="O533" s="437"/>
      <c r="P533" s="437"/>
      <c r="Q533" s="437"/>
      <c r="R533" s="437"/>
      <c r="S533" s="437"/>
      <c r="T533" s="437"/>
      <c r="U533" s="437"/>
      <c r="V533" s="437"/>
      <c r="W533" s="437"/>
      <c r="X533" s="437"/>
      <c r="Y533" s="437"/>
      <c r="Z533" s="426">
        <f ca="1" t="shared" si="71"/>
        <v>596.263636363633</v>
      </c>
    </row>
    <row r="534" spans="4:26">
      <c r="D534" s="3">
        <v>297</v>
      </c>
      <c r="E534" s="426">
        <f ca="1" t="shared" si="68"/>
        <v>599</v>
      </c>
      <c r="F534" s="436">
        <v>1.07</v>
      </c>
      <c r="G534" s="436"/>
      <c r="H534" s="427">
        <f t="shared" si="69"/>
        <v>342314395851</v>
      </c>
      <c r="I534" s="428">
        <f t="shared" si="67"/>
        <v>0</v>
      </c>
      <c r="J534" s="437"/>
      <c r="K534" s="437"/>
      <c r="L534" s="437"/>
      <c r="M534" s="437"/>
      <c r="N534" s="437"/>
      <c r="O534" s="437"/>
      <c r="P534" s="437"/>
      <c r="Q534" s="437"/>
      <c r="R534" s="437"/>
      <c r="S534" s="437"/>
      <c r="T534" s="437"/>
      <c r="U534" s="437"/>
      <c r="V534" s="437"/>
      <c r="W534" s="437"/>
      <c r="X534" s="437"/>
      <c r="Y534" s="437"/>
      <c r="Z534" s="426">
        <f ca="1" t="shared" si="71"/>
        <v>599.263636363633</v>
      </c>
    </row>
    <row r="535" spans="4:26">
      <c r="D535" s="3">
        <v>298</v>
      </c>
      <c r="E535" s="426">
        <f ca="1" t="shared" si="68"/>
        <v>602</v>
      </c>
      <c r="F535" s="436">
        <v>1.07</v>
      </c>
      <c r="G535" s="436"/>
      <c r="H535" s="427">
        <f t="shared" si="69"/>
        <v>366276403560</v>
      </c>
      <c r="I535" s="428">
        <f t="shared" si="67"/>
        <v>0</v>
      </c>
      <c r="J535" s="437"/>
      <c r="K535" s="437"/>
      <c r="L535" s="437"/>
      <c r="M535" s="437"/>
      <c r="N535" s="437"/>
      <c r="O535" s="437"/>
      <c r="P535" s="437"/>
      <c r="Q535" s="437"/>
      <c r="R535" s="437"/>
      <c r="S535" s="437"/>
      <c r="T535" s="437"/>
      <c r="U535" s="437"/>
      <c r="V535" s="437"/>
      <c r="W535" s="437"/>
      <c r="X535" s="437"/>
      <c r="Y535" s="437"/>
      <c r="Z535" s="426">
        <f ca="1" t="shared" si="71"/>
        <v>602.263636363633</v>
      </c>
    </row>
    <row r="536" spans="4:26">
      <c r="D536" s="3">
        <v>299</v>
      </c>
      <c r="E536" s="426">
        <f ca="1" t="shared" si="68"/>
        <v>605</v>
      </c>
      <c r="F536" s="436">
        <v>1.07</v>
      </c>
      <c r="G536" s="436"/>
      <c r="H536" s="427">
        <f t="shared" si="69"/>
        <v>391915751809</v>
      </c>
      <c r="I536" s="428">
        <f t="shared" si="67"/>
        <v>0</v>
      </c>
      <c r="J536" s="437"/>
      <c r="K536" s="437"/>
      <c r="L536" s="437"/>
      <c r="M536" s="437"/>
      <c r="N536" s="437"/>
      <c r="O536" s="437"/>
      <c r="P536" s="437"/>
      <c r="Q536" s="437"/>
      <c r="R536" s="437"/>
      <c r="S536" s="437"/>
      <c r="T536" s="437"/>
      <c r="U536" s="437"/>
      <c r="V536" s="437"/>
      <c r="W536" s="437"/>
      <c r="X536" s="437"/>
      <c r="Y536" s="437"/>
      <c r="Z536" s="426">
        <f ca="1" t="shared" si="71"/>
        <v>605.263636363633</v>
      </c>
    </row>
    <row r="537" spans="4:26">
      <c r="D537" s="3">
        <v>300</v>
      </c>
      <c r="E537" s="426">
        <f ca="1" t="shared" si="68"/>
        <v>608</v>
      </c>
      <c r="F537" s="436">
        <v>1.07</v>
      </c>
      <c r="G537" s="436"/>
      <c r="H537" s="427">
        <f t="shared" si="69"/>
        <v>419349854435</v>
      </c>
      <c r="I537" s="428">
        <f t="shared" si="67"/>
        <v>0</v>
      </c>
      <c r="J537" s="437"/>
      <c r="K537" s="437"/>
      <c r="L537" s="437"/>
      <c r="M537" s="437"/>
      <c r="N537" s="437"/>
      <c r="O537" s="437"/>
      <c r="P537" s="437"/>
      <c r="Q537" s="437"/>
      <c r="R537" s="437"/>
      <c r="S537" s="437"/>
      <c r="T537" s="437"/>
      <c r="U537" s="437"/>
      <c r="V537" s="437"/>
      <c r="W537" s="437"/>
      <c r="X537" s="437"/>
      <c r="Y537" s="437"/>
      <c r="Z537" s="426">
        <f ca="1" t="shared" si="71"/>
        <v>608.263636363633</v>
      </c>
    </row>
    <row r="538" spans="4:26">
      <c r="D538" s="3">
        <v>301</v>
      </c>
      <c r="E538" s="426">
        <f ca="1" t="shared" si="68"/>
        <v>611</v>
      </c>
      <c r="F538" s="436">
        <v>1.07</v>
      </c>
      <c r="G538" s="438"/>
      <c r="H538" s="427">
        <f t="shared" si="69"/>
        <v>448704344245</v>
      </c>
      <c r="I538" s="439"/>
      <c r="J538" s="437"/>
      <c r="K538" s="437"/>
      <c r="L538" s="437"/>
      <c r="M538" s="437"/>
      <c r="N538" s="437"/>
      <c r="O538" s="437"/>
      <c r="P538" s="437"/>
      <c r="Q538" s="437"/>
      <c r="R538" s="437"/>
      <c r="S538" s="437"/>
      <c r="T538" s="437"/>
      <c r="U538" s="437"/>
      <c r="V538" s="437"/>
      <c r="W538" s="437"/>
      <c r="X538" s="437"/>
      <c r="Y538" s="437"/>
      <c r="Z538" s="426">
        <f ca="1" t="shared" si="71"/>
        <v>611.263636363633</v>
      </c>
    </row>
    <row r="539" spans="4:26">
      <c r="D539" s="3">
        <v>302</v>
      </c>
      <c r="E539" s="426">
        <f ca="1" t="shared" si="68"/>
        <v>614</v>
      </c>
      <c r="F539" s="436">
        <v>1.07</v>
      </c>
      <c r="G539" s="438"/>
      <c r="H539" s="427">
        <f t="shared" si="69"/>
        <v>480113648342</v>
      </c>
      <c r="I539" s="439"/>
      <c r="J539" s="437"/>
      <c r="K539" s="437"/>
      <c r="L539" s="437"/>
      <c r="M539" s="437"/>
      <c r="N539" s="437"/>
      <c r="O539" s="437"/>
      <c r="P539" s="437"/>
      <c r="Q539" s="437"/>
      <c r="R539" s="437"/>
      <c r="S539" s="437"/>
      <c r="T539" s="437"/>
      <c r="U539" s="437"/>
      <c r="V539" s="437"/>
      <c r="W539" s="437"/>
      <c r="X539" s="437"/>
      <c r="Y539" s="437"/>
      <c r="Z539" s="426">
        <f ca="1" t="shared" si="71"/>
        <v>614.263636363633</v>
      </c>
    </row>
    <row r="540" spans="4:26">
      <c r="D540" s="3">
        <v>303</v>
      </c>
      <c r="E540" s="426">
        <f ca="1" t="shared" si="68"/>
        <v>617</v>
      </c>
      <c r="F540" s="436">
        <v>1.07</v>
      </c>
      <c r="G540" s="438"/>
      <c r="H540" s="427">
        <f t="shared" si="69"/>
        <v>513721603725</v>
      </c>
      <c r="I540" s="439"/>
      <c r="J540" s="437"/>
      <c r="K540" s="437"/>
      <c r="L540" s="437"/>
      <c r="M540" s="437"/>
      <c r="N540" s="437"/>
      <c r="O540" s="437"/>
      <c r="P540" s="437"/>
      <c r="Q540" s="437"/>
      <c r="R540" s="437"/>
      <c r="S540" s="437"/>
      <c r="T540" s="437"/>
      <c r="U540" s="437"/>
      <c r="V540" s="437"/>
      <c r="W540" s="437"/>
      <c r="X540" s="437"/>
      <c r="Y540" s="437"/>
      <c r="Z540" s="426">
        <f ca="1" t="shared" si="71"/>
        <v>617.263636363633</v>
      </c>
    </row>
    <row r="541" spans="4:26">
      <c r="D541" s="3">
        <v>304</v>
      </c>
      <c r="E541" s="426">
        <f ca="1" t="shared" si="68"/>
        <v>620</v>
      </c>
      <c r="F541" s="436">
        <v>1.07</v>
      </c>
      <c r="G541" s="438"/>
      <c r="H541" s="427">
        <f t="shared" si="69"/>
        <v>549682115985</v>
      </c>
      <c r="I541" s="439"/>
      <c r="J541" s="437"/>
      <c r="K541" s="437"/>
      <c r="L541" s="437"/>
      <c r="M541" s="437"/>
      <c r="N541" s="437"/>
      <c r="O541" s="437"/>
      <c r="P541" s="437"/>
      <c r="Q541" s="437"/>
      <c r="R541" s="437"/>
      <c r="S541" s="437"/>
      <c r="T541" s="437"/>
      <c r="U541" s="437"/>
      <c r="V541" s="437"/>
      <c r="W541" s="437"/>
      <c r="X541" s="437"/>
      <c r="Y541" s="437"/>
      <c r="Z541" s="426">
        <f ca="1" t="shared" si="71"/>
        <v>620.263636363633</v>
      </c>
    </row>
    <row r="542" spans="4:26">
      <c r="D542" s="3">
        <v>305</v>
      </c>
      <c r="E542" s="426">
        <f ca="1" t="shared" si="68"/>
        <v>623</v>
      </c>
      <c r="F542" s="436">
        <v>1.07</v>
      </c>
      <c r="G542" s="438"/>
      <c r="H542" s="427">
        <f t="shared" si="69"/>
        <v>588159864103</v>
      </c>
      <c r="I542" s="439"/>
      <c r="J542" s="437"/>
      <c r="K542" s="437"/>
      <c r="L542" s="437"/>
      <c r="M542" s="437"/>
      <c r="N542" s="437"/>
      <c r="O542" s="437"/>
      <c r="P542" s="437"/>
      <c r="Q542" s="437"/>
      <c r="R542" s="437"/>
      <c r="S542" s="437"/>
      <c r="T542" s="437"/>
      <c r="U542" s="437"/>
      <c r="V542" s="437"/>
      <c r="W542" s="437"/>
      <c r="X542" s="437"/>
      <c r="Y542" s="437"/>
      <c r="Z542" s="426">
        <f ca="1" t="shared" si="71"/>
        <v>623.263636363633</v>
      </c>
    </row>
    <row r="543" spans="4:26">
      <c r="D543" s="3">
        <v>306</v>
      </c>
      <c r="E543" s="426">
        <f ca="1" t="shared" si="68"/>
        <v>626</v>
      </c>
      <c r="F543" s="436">
        <v>1.07</v>
      </c>
      <c r="G543" s="438"/>
      <c r="H543" s="427">
        <f t="shared" si="69"/>
        <v>629331054590</v>
      </c>
      <c r="I543" s="439"/>
      <c r="J543" s="437"/>
      <c r="K543" s="437"/>
      <c r="L543" s="437"/>
      <c r="M543" s="437"/>
      <c r="N543" s="437"/>
      <c r="O543" s="437"/>
      <c r="P543" s="437"/>
      <c r="Q543" s="437"/>
      <c r="R543" s="437"/>
      <c r="S543" s="437"/>
      <c r="T543" s="437"/>
      <c r="U543" s="437"/>
      <c r="V543" s="437"/>
      <c r="W543" s="437"/>
      <c r="X543" s="437"/>
      <c r="Y543" s="437"/>
      <c r="Z543" s="426">
        <f ca="1" t="shared" si="71"/>
        <v>626.263636363633</v>
      </c>
    </row>
    <row r="544" spans="4:26">
      <c r="D544" s="3">
        <v>307</v>
      </c>
      <c r="E544" s="426">
        <f ca="1" t="shared" si="68"/>
        <v>629</v>
      </c>
      <c r="F544" s="436">
        <v>1.07</v>
      </c>
      <c r="G544" s="438"/>
      <c r="H544" s="427">
        <f t="shared" si="69"/>
        <v>673384228411</v>
      </c>
      <c r="I544" s="439"/>
      <c r="J544" s="437"/>
      <c r="K544" s="437"/>
      <c r="L544" s="437"/>
      <c r="M544" s="437"/>
      <c r="N544" s="437"/>
      <c r="O544" s="437"/>
      <c r="P544" s="437"/>
      <c r="Q544" s="437"/>
      <c r="R544" s="437"/>
      <c r="S544" s="437"/>
      <c r="T544" s="437"/>
      <c r="U544" s="437"/>
      <c r="V544" s="437"/>
      <c r="W544" s="437"/>
      <c r="X544" s="437"/>
      <c r="Y544" s="437"/>
      <c r="Z544" s="426">
        <f ca="1" t="shared" si="71"/>
        <v>629.263636363633</v>
      </c>
    </row>
    <row r="545" spans="4:26">
      <c r="D545" s="3">
        <v>308</v>
      </c>
      <c r="E545" s="426">
        <f ca="1" t="shared" si="68"/>
        <v>632</v>
      </c>
      <c r="F545" s="436">
        <v>1.07</v>
      </c>
      <c r="G545" s="438"/>
      <c r="H545" s="427">
        <f t="shared" si="69"/>
        <v>720521124399</v>
      </c>
      <c r="I545" s="439"/>
      <c r="J545" s="437"/>
      <c r="K545" s="437"/>
      <c r="L545" s="437"/>
      <c r="M545" s="437"/>
      <c r="N545" s="437"/>
      <c r="O545" s="437"/>
      <c r="P545" s="437"/>
      <c r="Q545" s="437"/>
      <c r="R545" s="437"/>
      <c r="S545" s="437"/>
      <c r="T545" s="437"/>
      <c r="U545" s="437"/>
      <c r="V545" s="437"/>
      <c r="W545" s="437"/>
      <c r="X545" s="437"/>
      <c r="Y545" s="437"/>
      <c r="Z545" s="426">
        <f ca="1" t="shared" si="71"/>
        <v>632.263636363633</v>
      </c>
    </row>
    <row r="546" spans="4:26">
      <c r="D546" s="3">
        <v>309</v>
      </c>
      <c r="E546" s="426">
        <f ca="1" t="shared" si="68"/>
        <v>635</v>
      </c>
      <c r="F546" s="436">
        <v>1.07</v>
      </c>
      <c r="G546" s="438"/>
      <c r="H546" s="427">
        <f t="shared" si="69"/>
        <v>770957603106</v>
      </c>
      <c r="I546" s="439"/>
      <c r="J546" s="437"/>
      <c r="K546" s="437"/>
      <c r="L546" s="437"/>
      <c r="M546" s="437"/>
      <c r="N546" s="437"/>
      <c r="O546" s="437"/>
      <c r="P546" s="437"/>
      <c r="Q546" s="437"/>
      <c r="R546" s="437"/>
      <c r="S546" s="437"/>
      <c r="T546" s="437"/>
      <c r="U546" s="437"/>
      <c r="V546" s="437"/>
      <c r="W546" s="437"/>
      <c r="X546" s="437"/>
      <c r="Y546" s="437"/>
      <c r="Z546" s="426">
        <f ca="1" t="shared" si="71"/>
        <v>635.263636363633</v>
      </c>
    </row>
    <row r="547" spans="4:26">
      <c r="D547" s="3">
        <v>310</v>
      </c>
      <c r="E547" s="426">
        <f ca="1" t="shared" si="68"/>
        <v>638</v>
      </c>
      <c r="F547" s="436">
        <v>1.07</v>
      </c>
      <c r="G547" s="438"/>
      <c r="H547" s="427">
        <f t="shared" si="69"/>
        <v>824924635323</v>
      </c>
      <c r="I547" s="439"/>
      <c r="J547" s="437"/>
      <c r="K547" s="437"/>
      <c r="L547" s="437"/>
      <c r="M547" s="437"/>
      <c r="N547" s="437"/>
      <c r="O547" s="437"/>
      <c r="P547" s="437"/>
      <c r="Q547" s="437"/>
      <c r="R547" s="437"/>
      <c r="S547" s="437"/>
      <c r="T547" s="437"/>
      <c r="U547" s="437"/>
      <c r="V547" s="437"/>
      <c r="W547" s="437"/>
      <c r="X547" s="437"/>
      <c r="Y547" s="437"/>
      <c r="Z547" s="426">
        <f ca="1" t="shared" si="71"/>
        <v>638.263636363633</v>
      </c>
    </row>
    <row r="548" spans="4:26">
      <c r="D548" s="3">
        <v>311</v>
      </c>
      <c r="E548" s="426">
        <f ca="1" t="shared" si="68"/>
        <v>641</v>
      </c>
      <c r="F548" s="436">
        <v>1.07</v>
      </c>
      <c r="G548" s="438"/>
      <c r="H548" s="427">
        <f t="shared" si="69"/>
        <v>882669359795</v>
      </c>
      <c r="I548" s="439"/>
      <c r="J548" s="437"/>
      <c r="K548" s="437"/>
      <c r="L548" s="437"/>
      <c r="M548" s="437"/>
      <c r="N548" s="437"/>
      <c r="O548" s="437"/>
      <c r="P548" s="437"/>
      <c r="Q548" s="437"/>
      <c r="R548" s="437"/>
      <c r="S548" s="437"/>
      <c r="T548" s="437"/>
      <c r="U548" s="437"/>
      <c r="V548" s="437"/>
      <c r="W548" s="437"/>
      <c r="X548" s="437"/>
      <c r="Y548" s="437"/>
      <c r="Z548" s="426">
        <f ca="1" t="shared" si="71"/>
        <v>641.263636363633</v>
      </c>
    </row>
    <row r="549" spans="4:26">
      <c r="D549" s="3">
        <v>312</v>
      </c>
      <c r="E549" s="426">
        <f ca="1" t="shared" si="68"/>
        <v>644</v>
      </c>
      <c r="F549" s="436">
        <v>1.07</v>
      </c>
      <c r="G549" s="438"/>
      <c r="H549" s="427">
        <f t="shared" si="69"/>
        <v>944456214980</v>
      </c>
      <c r="I549" s="439"/>
      <c r="J549" s="437"/>
      <c r="K549" s="437"/>
      <c r="L549" s="437"/>
      <c r="M549" s="437"/>
      <c r="N549" s="437"/>
      <c r="O549" s="437"/>
      <c r="P549" s="437"/>
      <c r="Q549" s="437"/>
      <c r="R549" s="437"/>
      <c r="S549" s="437"/>
      <c r="T549" s="437"/>
      <c r="U549" s="437"/>
      <c r="V549" s="437"/>
      <c r="W549" s="437"/>
      <c r="X549" s="437"/>
      <c r="Y549" s="437"/>
      <c r="Z549" s="426">
        <f ca="1" t="shared" si="71"/>
        <v>644.263636363633</v>
      </c>
    </row>
    <row r="550" spans="4:26">
      <c r="D550" s="3">
        <v>313</v>
      </c>
      <c r="E550" s="426">
        <f ca="1" t="shared" si="68"/>
        <v>647</v>
      </c>
      <c r="F550" s="436">
        <v>1.07</v>
      </c>
      <c r="G550" s="438"/>
      <c r="H550" s="427">
        <f t="shared" si="69"/>
        <v>1010568150028</v>
      </c>
      <c r="I550" s="439"/>
      <c r="J550" s="437"/>
      <c r="K550" s="437"/>
      <c r="L550" s="437"/>
      <c r="M550" s="437"/>
      <c r="N550" s="437"/>
      <c r="O550" s="437"/>
      <c r="P550" s="437"/>
      <c r="Q550" s="437"/>
      <c r="R550" s="437"/>
      <c r="S550" s="437"/>
      <c r="T550" s="437"/>
      <c r="U550" s="437"/>
      <c r="V550" s="437"/>
      <c r="W550" s="437"/>
      <c r="X550" s="437"/>
      <c r="Y550" s="437"/>
      <c r="Z550" s="426">
        <f ca="1" t="shared" si="71"/>
        <v>647.263636363633</v>
      </c>
    </row>
    <row r="551" spans="4:26">
      <c r="D551" s="3">
        <v>314</v>
      </c>
      <c r="E551" s="426">
        <f ca="1" t="shared" si="68"/>
        <v>650</v>
      </c>
      <c r="F551" s="436">
        <v>1.07</v>
      </c>
      <c r="G551" s="438"/>
      <c r="H551" s="427">
        <f t="shared" si="69"/>
        <v>1081307920529</v>
      </c>
      <c r="I551" s="439"/>
      <c r="J551" s="437"/>
      <c r="K551" s="437"/>
      <c r="L551" s="437"/>
      <c r="M551" s="437"/>
      <c r="N551" s="437"/>
      <c r="O551" s="437"/>
      <c r="P551" s="437"/>
      <c r="Q551" s="437"/>
      <c r="R551" s="437"/>
      <c r="S551" s="437"/>
      <c r="T551" s="437"/>
      <c r="U551" s="437"/>
      <c r="V551" s="437"/>
      <c r="W551" s="437"/>
      <c r="X551" s="437"/>
      <c r="Y551" s="437"/>
      <c r="Z551" s="426">
        <f ca="1" t="shared" si="71"/>
        <v>650.263636363633</v>
      </c>
    </row>
    <row r="552" spans="4:26">
      <c r="D552" s="3">
        <v>315</v>
      </c>
      <c r="E552" s="426">
        <f ca="1" t="shared" si="68"/>
        <v>653</v>
      </c>
      <c r="F552" s="436">
        <v>1.07</v>
      </c>
      <c r="G552" s="438"/>
      <c r="H552" s="427">
        <f t="shared" si="69"/>
        <v>1156999474966</v>
      </c>
      <c r="I552" s="439"/>
      <c r="J552" s="437"/>
      <c r="K552" s="437"/>
      <c r="L552" s="437"/>
      <c r="M552" s="437"/>
      <c r="N552" s="437"/>
      <c r="O552" s="437"/>
      <c r="P552" s="437"/>
      <c r="Q552" s="437"/>
      <c r="R552" s="437"/>
      <c r="S552" s="437"/>
      <c r="T552" s="437"/>
      <c r="U552" s="437"/>
      <c r="V552" s="437"/>
      <c r="W552" s="437"/>
      <c r="X552" s="437"/>
      <c r="Y552" s="437"/>
      <c r="Z552" s="426">
        <f ca="1" t="shared" si="71"/>
        <v>653.263636363633</v>
      </c>
    </row>
    <row r="553" spans="4:26">
      <c r="D553" s="3">
        <v>316</v>
      </c>
      <c r="E553" s="426">
        <f ca="1" t="shared" si="68"/>
        <v>656</v>
      </c>
      <c r="F553" s="436">
        <v>1.07</v>
      </c>
      <c r="G553" s="438"/>
      <c r="H553" s="427">
        <f t="shared" si="69"/>
        <v>1237989438213</v>
      </c>
      <c r="I553" s="439"/>
      <c r="J553" s="437"/>
      <c r="K553" s="437"/>
      <c r="L553" s="437"/>
      <c r="M553" s="437"/>
      <c r="N553" s="437"/>
      <c r="O553" s="437"/>
      <c r="P553" s="437"/>
      <c r="Q553" s="437"/>
      <c r="R553" s="437"/>
      <c r="S553" s="437"/>
      <c r="T553" s="437"/>
      <c r="U553" s="437"/>
      <c r="V553" s="437"/>
      <c r="W553" s="437"/>
      <c r="X553" s="437"/>
      <c r="Y553" s="437"/>
      <c r="Z553" s="426">
        <f ca="1" t="shared" si="71"/>
        <v>656.263636363633</v>
      </c>
    </row>
    <row r="554" spans="4:26">
      <c r="D554" s="3">
        <v>317</v>
      </c>
      <c r="E554" s="426">
        <f ca="1" t="shared" si="68"/>
        <v>659</v>
      </c>
      <c r="F554" s="436">
        <v>1.07</v>
      </c>
      <c r="G554" s="438"/>
      <c r="H554" s="427">
        <f t="shared" si="69"/>
        <v>1324648698887</v>
      </c>
      <c r="I554" s="439"/>
      <c r="J554" s="437"/>
      <c r="K554" s="437"/>
      <c r="L554" s="437"/>
      <c r="M554" s="437"/>
      <c r="N554" s="437"/>
      <c r="O554" s="437"/>
      <c r="P554" s="437"/>
      <c r="Q554" s="437"/>
      <c r="R554" s="437"/>
      <c r="S554" s="437"/>
      <c r="T554" s="437"/>
      <c r="U554" s="437"/>
      <c r="V554" s="437"/>
      <c r="W554" s="437"/>
      <c r="X554" s="437"/>
      <c r="Y554" s="437"/>
      <c r="Z554" s="426">
        <f ca="1" t="shared" si="71"/>
        <v>659.263636363633</v>
      </c>
    </row>
    <row r="555" spans="4:26">
      <c r="D555" s="3">
        <v>318</v>
      </c>
      <c r="E555" s="426">
        <f ca="1" t="shared" si="68"/>
        <v>662</v>
      </c>
      <c r="F555" s="436">
        <v>1.07</v>
      </c>
      <c r="G555" s="438"/>
      <c r="H555" s="427">
        <f t="shared" si="69"/>
        <v>1417374107809</v>
      </c>
      <c r="I555" s="439"/>
      <c r="J555" s="437"/>
      <c r="K555" s="437"/>
      <c r="L555" s="437"/>
      <c r="M555" s="437"/>
      <c r="N555" s="437"/>
      <c r="O555" s="437"/>
      <c r="P555" s="437"/>
      <c r="Q555" s="437"/>
      <c r="R555" s="437"/>
      <c r="S555" s="437"/>
      <c r="T555" s="437"/>
      <c r="U555" s="437"/>
      <c r="V555" s="437"/>
      <c r="W555" s="437"/>
      <c r="X555" s="437"/>
      <c r="Y555" s="437"/>
      <c r="Z555" s="426">
        <f ca="1" t="shared" si="71"/>
        <v>662.263636363633</v>
      </c>
    </row>
    <row r="556" spans="4:26">
      <c r="D556" s="3">
        <v>319</v>
      </c>
      <c r="E556" s="426">
        <f ca="1" t="shared" si="68"/>
        <v>665</v>
      </c>
      <c r="F556" s="436">
        <v>1.07</v>
      </c>
      <c r="G556" s="438"/>
      <c r="H556" s="427">
        <f t="shared" si="69"/>
        <v>1516590295355</v>
      </c>
      <c r="I556" s="439"/>
      <c r="J556" s="437"/>
      <c r="K556" s="437"/>
      <c r="L556" s="437"/>
      <c r="M556" s="437"/>
      <c r="N556" s="437"/>
      <c r="O556" s="437"/>
      <c r="P556" s="437"/>
      <c r="Q556" s="437"/>
      <c r="R556" s="437"/>
      <c r="S556" s="437"/>
      <c r="T556" s="437"/>
      <c r="U556" s="437"/>
      <c r="V556" s="437"/>
      <c r="W556" s="437"/>
      <c r="X556" s="437"/>
      <c r="Y556" s="437"/>
      <c r="Z556" s="426">
        <f ca="1" t="shared" si="71"/>
        <v>665.263636363633</v>
      </c>
    </row>
    <row r="557" spans="4:26">
      <c r="D557" s="3">
        <v>320</v>
      </c>
      <c r="E557" s="426">
        <f ca="1" t="shared" si="68"/>
        <v>668</v>
      </c>
      <c r="F557" s="436">
        <v>1.07</v>
      </c>
      <c r="G557" s="438"/>
      <c r="H557" s="427">
        <f t="shared" si="69"/>
        <v>1622751616029</v>
      </c>
      <c r="I557" s="439"/>
      <c r="J557" s="437"/>
      <c r="K557" s="437"/>
      <c r="L557" s="437"/>
      <c r="M557" s="437"/>
      <c r="N557" s="437"/>
      <c r="O557" s="437"/>
      <c r="P557" s="437"/>
      <c r="Q557" s="437"/>
      <c r="R557" s="437"/>
      <c r="S557" s="437"/>
      <c r="T557" s="437"/>
      <c r="U557" s="437"/>
      <c r="V557" s="437"/>
      <c r="W557" s="437"/>
      <c r="X557" s="437"/>
      <c r="Y557" s="437"/>
      <c r="Z557" s="426">
        <f ca="1" t="shared" si="71"/>
        <v>668.263636363633</v>
      </c>
    </row>
    <row r="558" spans="4:26">
      <c r="D558" s="3">
        <v>321</v>
      </c>
      <c r="E558" s="426">
        <f ca="1" t="shared" si="68"/>
        <v>671</v>
      </c>
      <c r="F558" s="436">
        <v>1.07</v>
      </c>
      <c r="G558" s="438"/>
      <c r="H558" s="427">
        <f t="shared" si="69"/>
        <v>1736344229151</v>
      </c>
      <c r="I558" s="439"/>
      <c r="J558" s="437"/>
      <c r="K558" s="437"/>
      <c r="L558" s="437"/>
      <c r="M558" s="437"/>
      <c r="N558" s="437"/>
      <c r="O558" s="437"/>
      <c r="P558" s="437"/>
      <c r="Q558" s="437"/>
      <c r="R558" s="437"/>
      <c r="S558" s="437"/>
      <c r="T558" s="437"/>
      <c r="U558" s="437"/>
      <c r="V558" s="437"/>
      <c r="W558" s="437"/>
      <c r="X558" s="437"/>
      <c r="Y558" s="437"/>
      <c r="Z558" s="426">
        <f ca="1" t="shared" si="71"/>
        <v>671.263636363633</v>
      </c>
    </row>
    <row r="559" spans="4:26">
      <c r="D559" s="3">
        <v>322</v>
      </c>
      <c r="E559" s="426">
        <f ca="1" t="shared" ref="E559:E622" si="72">INT(Z559)</f>
        <v>674</v>
      </c>
      <c r="F559" s="436">
        <v>1.07</v>
      </c>
      <c r="G559" s="438"/>
      <c r="H559" s="427">
        <f t="shared" ref="H559:H622" si="73">INT(H558*F559)</f>
        <v>1857888325191</v>
      </c>
      <c r="I559" s="439"/>
      <c r="J559" s="437"/>
      <c r="K559" s="437"/>
      <c r="L559" s="437"/>
      <c r="M559" s="437"/>
      <c r="N559" s="437"/>
      <c r="O559" s="437"/>
      <c r="P559" s="437"/>
      <c r="Q559" s="437"/>
      <c r="R559" s="437"/>
      <c r="S559" s="437"/>
      <c r="T559" s="437"/>
      <c r="U559" s="437"/>
      <c r="V559" s="437"/>
      <c r="W559" s="437"/>
      <c r="X559" s="437"/>
      <c r="Y559" s="437"/>
      <c r="Z559" s="426">
        <f ca="1" t="shared" si="71"/>
        <v>674.263636363633</v>
      </c>
    </row>
    <row r="560" spans="4:26">
      <c r="D560" s="3">
        <v>323</v>
      </c>
      <c r="E560" s="426">
        <f ca="1" t="shared" si="72"/>
        <v>677</v>
      </c>
      <c r="F560" s="436">
        <v>1.07</v>
      </c>
      <c r="G560" s="438"/>
      <c r="H560" s="427">
        <f t="shared" si="73"/>
        <v>1987940507954</v>
      </c>
      <c r="I560" s="439"/>
      <c r="J560" s="437"/>
      <c r="K560" s="437"/>
      <c r="L560" s="437"/>
      <c r="M560" s="437"/>
      <c r="N560" s="437"/>
      <c r="O560" s="437"/>
      <c r="P560" s="437"/>
      <c r="Q560" s="437"/>
      <c r="R560" s="437"/>
      <c r="S560" s="437"/>
      <c r="T560" s="437"/>
      <c r="U560" s="437"/>
      <c r="V560" s="437"/>
      <c r="W560" s="437"/>
      <c r="X560" s="437"/>
      <c r="Y560" s="437"/>
      <c r="Z560" s="426">
        <f ca="1" t="shared" si="71"/>
        <v>677.263636363633</v>
      </c>
    </row>
    <row r="561" spans="4:26">
      <c r="D561" s="3">
        <v>324</v>
      </c>
      <c r="E561" s="426">
        <f ca="1" t="shared" si="72"/>
        <v>680</v>
      </c>
      <c r="F561" s="436">
        <v>1.07</v>
      </c>
      <c r="G561" s="438"/>
      <c r="H561" s="427">
        <f t="shared" si="73"/>
        <v>2127096343510</v>
      </c>
      <c r="I561" s="439"/>
      <c r="J561" s="437"/>
      <c r="K561" s="437"/>
      <c r="L561" s="437"/>
      <c r="M561" s="437"/>
      <c r="N561" s="437"/>
      <c r="O561" s="437"/>
      <c r="P561" s="437"/>
      <c r="Q561" s="437"/>
      <c r="R561" s="437"/>
      <c r="S561" s="437"/>
      <c r="T561" s="437"/>
      <c r="U561" s="437"/>
      <c r="V561" s="437"/>
      <c r="W561" s="437"/>
      <c r="X561" s="437"/>
      <c r="Y561" s="437"/>
      <c r="Z561" s="426">
        <f ca="1" t="shared" si="71"/>
        <v>680.263636363633</v>
      </c>
    </row>
    <row r="562" spans="4:26">
      <c r="D562" s="3">
        <v>325</v>
      </c>
      <c r="E562" s="426">
        <f ca="1" t="shared" si="72"/>
        <v>683</v>
      </c>
      <c r="F562" s="436">
        <v>1.07</v>
      </c>
      <c r="G562" s="438"/>
      <c r="H562" s="427">
        <f t="shared" si="73"/>
        <v>2275993087555</v>
      </c>
      <c r="I562" s="439"/>
      <c r="J562" s="437"/>
      <c r="K562" s="437"/>
      <c r="L562" s="437"/>
      <c r="M562" s="437"/>
      <c r="N562" s="437"/>
      <c r="O562" s="437"/>
      <c r="P562" s="437"/>
      <c r="Q562" s="437"/>
      <c r="R562" s="437"/>
      <c r="S562" s="437"/>
      <c r="T562" s="437"/>
      <c r="U562" s="437"/>
      <c r="V562" s="437"/>
      <c r="W562" s="437"/>
      <c r="X562" s="437"/>
      <c r="Y562" s="437"/>
      <c r="Z562" s="426">
        <f ca="1" t="shared" si="71"/>
        <v>683.263636363633</v>
      </c>
    </row>
    <row r="563" spans="4:26">
      <c r="D563" s="3">
        <v>326</v>
      </c>
      <c r="E563" s="426">
        <f ca="1" t="shared" si="72"/>
        <v>686</v>
      </c>
      <c r="F563" s="436">
        <v>1.07</v>
      </c>
      <c r="G563" s="438"/>
      <c r="H563" s="427">
        <f t="shared" si="73"/>
        <v>2435312603683</v>
      </c>
      <c r="I563" s="439"/>
      <c r="J563" s="437"/>
      <c r="K563" s="437"/>
      <c r="L563" s="437"/>
      <c r="M563" s="437"/>
      <c r="N563" s="437"/>
      <c r="O563" s="437"/>
      <c r="P563" s="437"/>
      <c r="Q563" s="437"/>
      <c r="R563" s="437"/>
      <c r="S563" s="437"/>
      <c r="T563" s="437"/>
      <c r="U563" s="437"/>
      <c r="V563" s="437"/>
      <c r="W563" s="437"/>
      <c r="X563" s="437"/>
      <c r="Y563" s="437"/>
      <c r="Z563" s="426">
        <f ca="1" t="shared" si="71"/>
        <v>686.263636363633</v>
      </c>
    </row>
    <row r="564" spans="4:26">
      <c r="D564" s="3">
        <v>327</v>
      </c>
      <c r="E564" s="426">
        <f ca="1" t="shared" si="72"/>
        <v>689</v>
      </c>
      <c r="F564" s="436">
        <v>1.07</v>
      </c>
      <c r="G564" s="438"/>
      <c r="H564" s="427">
        <f t="shared" si="73"/>
        <v>2605784485940</v>
      </c>
      <c r="I564" s="439"/>
      <c r="J564" s="437"/>
      <c r="K564" s="437"/>
      <c r="L564" s="437"/>
      <c r="M564" s="437"/>
      <c r="N564" s="437"/>
      <c r="O564" s="437"/>
      <c r="P564" s="437"/>
      <c r="Q564" s="437"/>
      <c r="R564" s="437"/>
      <c r="S564" s="437"/>
      <c r="T564" s="437"/>
      <c r="U564" s="437"/>
      <c r="V564" s="437"/>
      <c r="W564" s="437"/>
      <c r="X564" s="437"/>
      <c r="Y564" s="437"/>
      <c r="Z564" s="426">
        <f ca="1" t="shared" si="71"/>
        <v>689.263636363633</v>
      </c>
    </row>
    <row r="565" spans="4:26">
      <c r="D565" s="3">
        <v>328</v>
      </c>
      <c r="E565" s="426">
        <f ca="1" t="shared" si="72"/>
        <v>692</v>
      </c>
      <c r="F565" s="436">
        <v>1.07</v>
      </c>
      <c r="G565" s="438"/>
      <c r="H565" s="427">
        <f t="shared" si="73"/>
        <v>2788189399955</v>
      </c>
      <c r="I565" s="439"/>
      <c r="J565" s="437"/>
      <c r="K565" s="437"/>
      <c r="L565" s="437"/>
      <c r="M565" s="437"/>
      <c r="N565" s="437"/>
      <c r="O565" s="437"/>
      <c r="P565" s="437"/>
      <c r="Q565" s="437"/>
      <c r="R565" s="437"/>
      <c r="S565" s="437"/>
      <c r="T565" s="437"/>
      <c r="U565" s="437"/>
      <c r="V565" s="437"/>
      <c r="W565" s="437"/>
      <c r="X565" s="437"/>
      <c r="Y565" s="437"/>
      <c r="Z565" s="426">
        <f ca="1" t="shared" si="71"/>
        <v>692.263636363633</v>
      </c>
    </row>
    <row r="566" spans="4:26">
      <c r="D566" s="3">
        <v>329</v>
      </c>
      <c r="E566" s="426">
        <f ca="1" t="shared" si="72"/>
        <v>695</v>
      </c>
      <c r="F566" s="436">
        <v>1.07</v>
      </c>
      <c r="G566" s="438"/>
      <c r="H566" s="427">
        <f t="shared" si="73"/>
        <v>2983362657951</v>
      </c>
      <c r="I566" s="439"/>
      <c r="J566" s="437"/>
      <c r="K566" s="437"/>
      <c r="L566" s="437"/>
      <c r="M566" s="437"/>
      <c r="N566" s="437"/>
      <c r="O566" s="437"/>
      <c r="P566" s="437"/>
      <c r="Q566" s="437"/>
      <c r="R566" s="437"/>
      <c r="S566" s="437"/>
      <c r="T566" s="437"/>
      <c r="U566" s="437"/>
      <c r="V566" s="437"/>
      <c r="W566" s="437"/>
      <c r="X566" s="437"/>
      <c r="Y566" s="437"/>
      <c r="Z566" s="426">
        <f ca="1" t="shared" si="71"/>
        <v>695.263636363633</v>
      </c>
    </row>
    <row r="567" spans="4:26">
      <c r="D567" s="3">
        <v>330</v>
      </c>
      <c r="E567" s="426">
        <f ca="1" t="shared" si="72"/>
        <v>698</v>
      </c>
      <c r="F567" s="436">
        <v>1.07</v>
      </c>
      <c r="G567" s="438"/>
      <c r="H567" s="427">
        <f t="shared" si="73"/>
        <v>3192198044007</v>
      </c>
      <c r="I567" s="439"/>
      <c r="J567" s="437"/>
      <c r="K567" s="437"/>
      <c r="L567" s="437"/>
      <c r="M567" s="437"/>
      <c r="N567" s="437"/>
      <c r="O567" s="437"/>
      <c r="P567" s="437"/>
      <c r="Q567" s="437"/>
      <c r="R567" s="437"/>
      <c r="S567" s="437"/>
      <c r="T567" s="437"/>
      <c r="U567" s="437"/>
      <c r="V567" s="437"/>
      <c r="W567" s="437"/>
      <c r="X567" s="437"/>
      <c r="Y567" s="437"/>
      <c r="Z567" s="426">
        <f ca="1" t="shared" si="71"/>
        <v>698.263636363633</v>
      </c>
    </row>
    <row r="568" spans="4:26">
      <c r="D568" s="3">
        <v>331</v>
      </c>
      <c r="E568" s="426">
        <f ca="1" t="shared" si="72"/>
        <v>701</v>
      </c>
      <c r="F568" s="436">
        <v>1.07</v>
      </c>
      <c r="G568" s="438"/>
      <c r="H568" s="427">
        <f t="shared" si="73"/>
        <v>3415651907087</v>
      </c>
      <c r="I568" s="439"/>
      <c r="J568" s="437"/>
      <c r="K568" s="437"/>
      <c r="L568" s="437"/>
      <c r="M568" s="437"/>
      <c r="N568" s="437"/>
      <c r="O568" s="437"/>
      <c r="P568" s="437"/>
      <c r="Q568" s="437"/>
      <c r="R568" s="437"/>
      <c r="S568" s="437"/>
      <c r="T568" s="437"/>
      <c r="U568" s="437"/>
      <c r="V568" s="437"/>
      <c r="W568" s="437"/>
      <c r="X568" s="437"/>
      <c r="Y568" s="437"/>
      <c r="Z568" s="426">
        <f ca="1" t="shared" si="71"/>
        <v>701.263636363633</v>
      </c>
    </row>
    <row r="569" spans="4:26">
      <c r="D569" s="3">
        <v>332</v>
      </c>
      <c r="E569" s="426">
        <f ca="1" t="shared" si="72"/>
        <v>704</v>
      </c>
      <c r="F569" s="436">
        <v>1.07</v>
      </c>
      <c r="G569" s="438"/>
      <c r="H569" s="427">
        <f t="shared" si="73"/>
        <v>3654747540583</v>
      </c>
      <c r="I569" s="439"/>
      <c r="J569" s="437"/>
      <c r="K569" s="437"/>
      <c r="L569" s="437"/>
      <c r="M569" s="437"/>
      <c r="N569" s="437"/>
      <c r="O569" s="437"/>
      <c r="P569" s="437"/>
      <c r="Q569" s="437"/>
      <c r="R569" s="437"/>
      <c r="S569" s="437"/>
      <c r="T569" s="437"/>
      <c r="U569" s="437"/>
      <c r="V569" s="437"/>
      <c r="W569" s="437"/>
      <c r="X569" s="437"/>
      <c r="Y569" s="437"/>
      <c r="Z569" s="426">
        <f ca="1" t="shared" si="71"/>
        <v>704.263636363633</v>
      </c>
    </row>
    <row r="570" spans="4:26">
      <c r="D570" s="3">
        <v>333</v>
      </c>
      <c r="E570" s="426">
        <f ca="1" t="shared" si="72"/>
        <v>707</v>
      </c>
      <c r="F570" s="436">
        <v>1.07</v>
      </c>
      <c r="G570" s="438"/>
      <c r="H570" s="427">
        <f t="shared" si="73"/>
        <v>3910579868423</v>
      </c>
      <c r="I570" s="439"/>
      <c r="J570" s="437"/>
      <c r="K570" s="437"/>
      <c r="L570" s="437"/>
      <c r="M570" s="437"/>
      <c r="N570" s="437"/>
      <c r="O570" s="437"/>
      <c r="P570" s="437"/>
      <c r="Q570" s="437"/>
      <c r="R570" s="437"/>
      <c r="S570" s="437"/>
      <c r="T570" s="437"/>
      <c r="U570" s="437"/>
      <c r="V570" s="437"/>
      <c r="W570" s="437"/>
      <c r="X570" s="437"/>
      <c r="Y570" s="437"/>
      <c r="Z570" s="426">
        <f ca="1" t="shared" si="71"/>
        <v>707.263636363633</v>
      </c>
    </row>
    <row r="571" spans="4:26">
      <c r="D571" s="3">
        <v>334</v>
      </c>
      <c r="E571" s="426">
        <f ca="1" t="shared" si="72"/>
        <v>710</v>
      </c>
      <c r="F571" s="436">
        <v>1.07</v>
      </c>
      <c r="G571" s="438"/>
      <c r="H571" s="427">
        <f t="shared" si="73"/>
        <v>4184320459212</v>
      </c>
      <c r="I571" s="439"/>
      <c r="J571" s="437"/>
      <c r="K571" s="437"/>
      <c r="L571" s="437"/>
      <c r="M571" s="437"/>
      <c r="N571" s="437"/>
      <c r="O571" s="437"/>
      <c r="P571" s="437"/>
      <c r="Q571" s="437"/>
      <c r="R571" s="437"/>
      <c r="S571" s="437"/>
      <c r="T571" s="437"/>
      <c r="U571" s="437"/>
      <c r="V571" s="437"/>
      <c r="W571" s="437"/>
      <c r="X571" s="437"/>
      <c r="Y571" s="437"/>
      <c r="Z571" s="426">
        <f ca="1" t="shared" si="71"/>
        <v>710.263636363633</v>
      </c>
    </row>
    <row r="572" spans="4:26">
      <c r="D572" s="3">
        <v>335</v>
      </c>
      <c r="E572" s="426">
        <f ca="1" t="shared" si="72"/>
        <v>713</v>
      </c>
      <c r="F572" s="436">
        <v>1.07</v>
      </c>
      <c r="G572" s="438"/>
      <c r="H572" s="427">
        <f t="shared" si="73"/>
        <v>4477222891356</v>
      </c>
      <c r="I572" s="439"/>
      <c r="J572" s="437"/>
      <c r="K572" s="437"/>
      <c r="L572" s="437"/>
      <c r="M572" s="437"/>
      <c r="N572" s="437"/>
      <c r="O572" s="437"/>
      <c r="P572" s="437"/>
      <c r="Q572" s="437"/>
      <c r="R572" s="437"/>
      <c r="S572" s="437"/>
      <c r="T572" s="437"/>
      <c r="U572" s="437"/>
      <c r="V572" s="437"/>
      <c r="W572" s="437"/>
      <c r="X572" s="437"/>
      <c r="Y572" s="437"/>
      <c r="Z572" s="426">
        <f ca="1" t="shared" si="71"/>
        <v>713.263636363633</v>
      </c>
    </row>
    <row r="573" spans="4:26">
      <c r="D573" s="3">
        <v>336</v>
      </c>
      <c r="E573" s="426">
        <f ca="1" t="shared" si="72"/>
        <v>716</v>
      </c>
      <c r="F573" s="436">
        <v>1.07</v>
      </c>
      <c r="G573" s="438"/>
      <c r="H573" s="427">
        <f t="shared" si="73"/>
        <v>4790628493750</v>
      </c>
      <c r="I573" s="439"/>
      <c r="J573" s="437"/>
      <c r="K573" s="437"/>
      <c r="L573" s="437"/>
      <c r="M573" s="437"/>
      <c r="N573" s="437"/>
      <c r="O573" s="437"/>
      <c r="P573" s="437"/>
      <c r="Q573" s="437"/>
      <c r="R573" s="437"/>
      <c r="S573" s="437"/>
      <c r="T573" s="437"/>
      <c r="U573" s="437"/>
      <c r="V573" s="437"/>
      <c r="W573" s="437"/>
      <c r="X573" s="437"/>
      <c r="Y573" s="437"/>
      <c r="Z573" s="426">
        <f ca="1" t="shared" si="71"/>
        <v>716.263636363633</v>
      </c>
    </row>
    <row r="574" spans="4:26">
      <c r="D574" s="3">
        <v>337</v>
      </c>
      <c r="E574" s="426">
        <f ca="1" t="shared" si="72"/>
        <v>719</v>
      </c>
      <c r="F574" s="436">
        <v>1.07</v>
      </c>
      <c r="G574" s="438"/>
      <c r="H574" s="427">
        <f t="shared" si="73"/>
        <v>5125972488312</v>
      </c>
      <c r="I574" s="439"/>
      <c r="J574" s="437"/>
      <c r="K574" s="437"/>
      <c r="L574" s="437"/>
      <c r="M574" s="437"/>
      <c r="N574" s="437"/>
      <c r="O574" s="437"/>
      <c r="P574" s="437"/>
      <c r="Q574" s="437"/>
      <c r="R574" s="437"/>
      <c r="S574" s="437"/>
      <c r="T574" s="437"/>
      <c r="U574" s="437"/>
      <c r="V574" s="437"/>
      <c r="W574" s="437"/>
      <c r="X574" s="437"/>
      <c r="Y574" s="437"/>
      <c r="Z574" s="426">
        <f ca="1" t="shared" si="71"/>
        <v>719.263636363633</v>
      </c>
    </row>
    <row r="575" spans="4:26">
      <c r="D575" s="3">
        <v>338</v>
      </c>
      <c r="E575" s="426">
        <f ca="1" t="shared" si="72"/>
        <v>722</v>
      </c>
      <c r="F575" s="436">
        <v>1.07</v>
      </c>
      <c r="G575" s="438"/>
      <c r="H575" s="427">
        <f t="shared" si="73"/>
        <v>5484790562493</v>
      </c>
      <c r="I575" s="439"/>
      <c r="J575" s="437"/>
      <c r="K575" s="437"/>
      <c r="L575" s="437"/>
      <c r="M575" s="437"/>
      <c r="N575" s="437"/>
      <c r="O575" s="437"/>
      <c r="P575" s="437"/>
      <c r="Q575" s="437"/>
      <c r="R575" s="437"/>
      <c r="S575" s="437"/>
      <c r="T575" s="437"/>
      <c r="U575" s="437"/>
      <c r="V575" s="437"/>
      <c r="W575" s="437"/>
      <c r="X575" s="437"/>
      <c r="Y575" s="437"/>
      <c r="Z575" s="426">
        <f ca="1" t="shared" si="71"/>
        <v>722.263636363633</v>
      </c>
    </row>
    <row r="576" spans="4:26">
      <c r="D576" s="3">
        <v>339</v>
      </c>
      <c r="E576" s="426">
        <f ca="1" t="shared" si="72"/>
        <v>725</v>
      </c>
      <c r="F576" s="436">
        <v>1.07</v>
      </c>
      <c r="G576" s="438"/>
      <c r="H576" s="427">
        <f t="shared" si="73"/>
        <v>5868725901867</v>
      </c>
      <c r="I576" s="439"/>
      <c r="J576" s="437"/>
      <c r="K576" s="437"/>
      <c r="L576" s="437"/>
      <c r="M576" s="437"/>
      <c r="N576" s="437"/>
      <c r="O576" s="437"/>
      <c r="P576" s="437"/>
      <c r="Q576" s="437"/>
      <c r="R576" s="437"/>
      <c r="S576" s="437"/>
      <c r="T576" s="437"/>
      <c r="U576" s="437"/>
      <c r="V576" s="437"/>
      <c r="W576" s="437"/>
      <c r="X576" s="437"/>
      <c r="Y576" s="437"/>
      <c r="Z576" s="426">
        <f ca="1" t="shared" si="71"/>
        <v>725.263636363633</v>
      </c>
    </row>
    <row r="577" spans="4:26">
      <c r="D577" s="3">
        <v>340</v>
      </c>
      <c r="E577" s="426">
        <f ca="1" t="shared" si="72"/>
        <v>728</v>
      </c>
      <c r="F577" s="436">
        <v>1.07</v>
      </c>
      <c r="G577" s="438"/>
      <c r="H577" s="427">
        <f t="shared" si="73"/>
        <v>6279536714997</v>
      </c>
      <c r="I577" s="439"/>
      <c r="J577" s="437"/>
      <c r="K577" s="437"/>
      <c r="L577" s="437"/>
      <c r="M577" s="437"/>
      <c r="N577" s="437"/>
      <c r="O577" s="437"/>
      <c r="P577" s="437"/>
      <c r="Q577" s="437"/>
      <c r="R577" s="437"/>
      <c r="S577" s="437"/>
      <c r="T577" s="437"/>
      <c r="U577" s="437"/>
      <c r="V577" s="437"/>
      <c r="W577" s="437"/>
      <c r="X577" s="437"/>
      <c r="Y577" s="437"/>
      <c r="Z577" s="426">
        <f ca="1" t="shared" si="71"/>
        <v>728.263636363633</v>
      </c>
    </row>
    <row r="578" spans="4:26">
      <c r="D578" s="3">
        <v>341</v>
      </c>
      <c r="E578" s="426">
        <f ca="1" t="shared" si="72"/>
        <v>731</v>
      </c>
      <c r="F578" s="436">
        <v>1.07</v>
      </c>
      <c r="G578" s="438"/>
      <c r="H578" s="427">
        <f t="shared" si="73"/>
        <v>6719104285046</v>
      </c>
      <c r="I578" s="439"/>
      <c r="J578" s="437"/>
      <c r="K578" s="437"/>
      <c r="L578" s="437"/>
      <c r="M578" s="437"/>
      <c r="N578" s="437"/>
      <c r="O578" s="437"/>
      <c r="P578" s="437"/>
      <c r="Q578" s="437"/>
      <c r="R578" s="437"/>
      <c r="S578" s="437"/>
      <c r="T578" s="437"/>
      <c r="U578" s="437"/>
      <c r="V578" s="437"/>
      <c r="W578" s="437"/>
      <c r="X578" s="437"/>
      <c r="Y578" s="437"/>
      <c r="Z578" s="426">
        <f ca="1" t="shared" si="71"/>
        <v>731.263636363633</v>
      </c>
    </row>
    <row r="579" spans="4:26">
      <c r="D579" s="3">
        <v>342</v>
      </c>
      <c r="E579" s="426">
        <f ca="1" t="shared" si="72"/>
        <v>734</v>
      </c>
      <c r="F579" s="436">
        <v>1.07</v>
      </c>
      <c r="G579" s="438"/>
      <c r="H579" s="427">
        <f t="shared" si="73"/>
        <v>7189441584999</v>
      </c>
      <c r="I579" s="439"/>
      <c r="J579" s="437"/>
      <c r="K579" s="437"/>
      <c r="L579" s="437"/>
      <c r="M579" s="437"/>
      <c r="N579" s="437"/>
      <c r="O579" s="437"/>
      <c r="P579" s="437"/>
      <c r="Q579" s="437"/>
      <c r="R579" s="437"/>
      <c r="S579" s="437"/>
      <c r="T579" s="437"/>
      <c r="U579" s="437"/>
      <c r="V579" s="437"/>
      <c r="W579" s="437"/>
      <c r="X579" s="437"/>
      <c r="Y579" s="437"/>
      <c r="Z579" s="426">
        <f ca="1" t="shared" si="71"/>
        <v>734.263636363633</v>
      </c>
    </row>
    <row r="580" spans="4:26">
      <c r="D580" s="3">
        <v>343</v>
      </c>
      <c r="E580" s="426">
        <f ca="1" t="shared" si="72"/>
        <v>737</v>
      </c>
      <c r="F580" s="436">
        <v>1.07</v>
      </c>
      <c r="G580" s="438"/>
      <c r="H580" s="427">
        <f t="shared" si="73"/>
        <v>7692702495948</v>
      </c>
      <c r="I580" s="439"/>
      <c r="J580" s="437"/>
      <c r="K580" s="437"/>
      <c r="L580" s="437"/>
      <c r="M580" s="437"/>
      <c r="N580" s="437"/>
      <c r="O580" s="437"/>
      <c r="P580" s="437"/>
      <c r="Q580" s="437"/>
      <c r="R580" s="437"/>
      <c r="S580" s="437"/>
      <c r="T580" s="437"/>
      <c r="U580" s="437"/>
      <c r="V580" s="437"/>
      <c r="W580" s="437"/>
      <c r="X580" s="437"/>
      <c r="Y580" s="437"/>
      <c r="Z580" s="426">
        <f ca="1" t="shared" si="71"/>
        <v>737.263636363633</v>
      </c>
    </row>
    <row r="581" spans="4:26">
      <c r="D581" s="3">
        <v>344</v>
      </c>
      <c r="E581" s="426">
        <f ca="1" t="shared" si="72"/>
        <v>740</v>
      </c>
      <c r="F581" s="436">
        <v>1.07</v>
      </c>
      <c r="G581" s="438"/>
      <c r="H581" s="427">
        <f t="shared" si="73"/>
        <v>8231191670664</v>
      </c>
      <c r="I581" s="439"/>
      <c r="J581" s="437"/>
      <c r="K581" s="437"/>
      <c r="L581" s="437"/>
      <c r="M581" s="437"/>
      <c r="N581" s="437"/>
      <c r="O581" s="437"/>
      <c r="P581" s="437"/>
      <c r="Q581" s="437"/>
      <c r="R581" s="437"/>
      <c r="S581" s="437"/>
      <c r="T581" s="437"/>
      <c r="U581" s="437"/>
      <c r="V581" s="437"/>
      <c r="W581" s="437"/>
      <c r="X581" s="437"/>
      <c r="Y581" s="437"/>
      <c r="Z581" s="426">
        <f ca="1" t="shared" si="71"/>
        <v>740.263636363633</v>
      </c>
    </row>
    <row r="582" spans="4:26">
      <c r="D582" s="3">
        <v>345</v>
      </c>
      <c r="E582" s="426">
        <f ca="1" t="shared" si="72"/>
        <v>743</v>
      </c>
      <c r="F582" s="436">
        <v>1.07</v>
      </c>
      <c r="G582" s="438"/>
      <c r="H582" s="427">
        <f t="shared" si="73"/>
        <v>8807375087610</v>
      </c>
      <c r="I582" s="439"/>
      <c r="J582" s="437"/>
      <c r="K582" s="437"/>
      <c r="L582" s="437"/>
      <c r="M582" s="437"/>
      <c r="N582" s="437"/>
      <c r="O582" s="437"/>
      <c r="P582" s="437"/>
      <c r="Q582" s="437"/>
      <c r="R582" s="437"/>
      <c r="S582" s="437"/>
      <c r="T582" s="437"/>
      <c r="U582" s="437"/>
      <c r="V582" s="437"/>
      <c r="W582" s="437"/>
      <c r="X582" s="437"/>
      <c r="Y582" s="437"/>
      <c r="Z582" s="426">
        <f ca="1" t="shared" si="71"/>
        <v>743.263636363633</v>
      </c>
    </row>
    <row r="583" spans="4:26">
      <c r="D583" s="3">
        <v>346</v>
      </c>
      <c r="E583" s="426">
        <f ca="1" t="shared" si="72"/>
        <v>746</v>
      </c>
      <c r="F583" s="436">
        <v>1.07</v>
      </c>
      <c r="G583" s="438"/>
      <c r="H583" s="427">
        <f t="shared" si="73"/>
        <v>9423891343742</v>
      </c>
      <c r="I583" s="439"/>
      <c r="J583" s="437"/>
      <c r="K583" s="437"/>
      <c r="L583" s="437"/>
      <c r="M583" s="437"/>
      <c r="N583" s="437"/>
      <c r="O583" s="437"/>
      <c r="P583" s="437"/>
      <c r="Q583" s="437"/>
      <c r="R583" s="437"/>
      <c r="S583" s="437"/>
      <c r="T583" s="437"/>
      <c r="U583" s="437"/>
      <c r="V583" s="437"/>
      <c r="W583" s="437"/>
      <c r="X583" s="437"/>
      <c r="Y583" s="437"/>
      <c r="Z583" s="426">
        <f ca="1" t="shared" si="71"/>
        <v>746.263636363633</v>
      </c>
    </row>
    <row r="584" spans="4:26">
      <c r="D584" s="3">
        <v>347</v>
      </c>
      <c r="E584" s="426">
        <f ca="1" t="shared" si="72"/>
        <v>749</v>
      </c>
      <c r="F584" s="436">
        <v>1.07</v>
      </c>
      <c r="G584" s="438"/>
      <c r="H584" s="427">
        <f t="shared" si="73"/>
        <v>10083563737803</v>
      </c>
      <c r="I584" s="439"/>
      <c r="J584" s="437"/>
      <c r="K584" s="437"/>
      <c r="L584" s="437"/>
      <c r="M584" s="437"/>
      <c r="N584" s="437"/>
      <c r="O584" s="437"/>
      <c r="P584" s="437"/>
      <c r="Q584" s="437"/>
      <c r="R584" s="437"/>
      <c r="S584" s="437"/>
      <c r="T584" s="437"/>
      <c r="U584" s="437"/>
      <c r="V584" s="437"/>
      <c r="W584" s="437"/>
      <c r="X584" s="437"/>
      <c r="Y584" s="437"/>
      <c r="Z584" s="426">
        <f ca="1" t="shared" si="71"/>
        <v>749.263636363633</v>
      </c>
    </row>
    <row r="585" spans="4:26">
      <c r="D585" s="3">
        <v>348</v>
      </c>
      <c r="E585" s="426">
        <f ca="1" t="shared" si="72"/>
        <v>752</v>
      </c>
      <c r="F585" s="436">
        <v>1.07</v>
      </c>
      <c r="G585" s="438"/>
      <c r="H585" s="427">
        <f t="shared" si="73"/>
        <v>10789413199449</v>
      </c>
      <c r="I585" s="439"/>
      <c r="J585" s="437"/>
      <c r="K585" s="437"/>
      <c r="L585" s="437"/>
      <c r="M585" s="437"/>
      <c r="N585" s="437"/>
      <c r="O585" s="437"/>
      <c r="P585" s="437"/>
      <c r="Q585" s="437"/>
      <c r="R585" s="437"/>
      <c r="S585" s="437"/>
      <c r="T585" s="437"/>
      <c r="U585" s="437"/>
      <c r="V585" s="437"/>
      <c r="W585" s="437"/>
      <c r="X585" s="437"/>
      <c r="Y585" s="437"/>
      <c r="Z585" s="426">
        <f ca="1" t="shared" si="71"/>
        <v>752.263636363633</v>
      </c>
    </row>
    <row r="586" spans="4:26">
      <c r="D586" s="3">
        <v>349</v>
      </c>
      <c r="E586" s="426">
        <f ca="1" t="shared" si="72"/>
        <v>755</v>
      </c>
      <c r="F586" s="436">
        <v>1.07</v>
      </c>
      <c r="G586" s="438"/>
      <c r="H586" s="427">
        <f t="shared" si="73"/>
        <v>11544672123410</v>
      </c>
      <c r="I586" s="439"/>
      <c r="J586" s="437"/>
      <c r="K586" s="437"/>
      <c r="L586" s="437"/>
      <c r="M586" s="437"/>
      <c r="N586" s="437"/>
      <c r="O586" s="437"/>
      <c r="P586" s="437"/>
      <c r="Q586" s="437"/>
      <c r="R586" s="437"/>
      <c r="S586" s="437"/>
      <c r="T586" s="437"/>
      <c r="U586" s="437"/>
      <c r="V586" s="437"/>
      <c r="W586" s="437"/>
      <c r="X586" s="437"/>
      <c r="Y586" s="437"/>
      <c r="Z586" s="426">
        <f ca="1" t="shared" si="71"/>
        <v>755.263636363633</v>
      </c>
    </row>
    <row r="587" spans="4:26">
      <c r="D587" s="3">
        <v>350</v>
      </c>
      <c r="E587" s="426">
        <f ca="1" t="shared" si="72"/>
        <v>758</v>
      </c>
      <c r="F587" s="436">
        <v>1.07</v>
      </c>
      <c r="G587" s="438"/>
      <c r="H587" s="427">
        <f t="shared" si="73"/>
        <v>12352799172048</v>
      </c>
      <c r="I587" s="439"/>
      <c r="J587" s="437"/>
      <c r="K587" s="437"/>
      <c r="L587" s="437"/>
      <c r="M587" s="437"/>
      <c r="N587" s="437"/>
      <c r="O587" s="437"/>
      <c r="P587" s="437"/>
      <c r="Q587" s="437"/>
      <c r="R587" s="437"/>
      <c r="S587" s="437"/>
      <c r="T587" s="437"/>
      <c r="U587" s="437"/>
      <c r="V587" s="437"/>
      <c r="W587" s="437"/>
      <c r="X587" s="437"/>
      <c r="Y587" s="437"/>
      <c r="Z587" s="426">
        <f ca="1" t="shared" si="71"/>
        <v>758.263636363633</v>
      </c>
    </row>
    <row r="588" spans="4:26">
      <c r="D588" s="3">
        <v>351</v>
      </c>
      <c r="E588" s="426">
        <f ca="1" t="shared" si="72"/>
        <v>761</v>
      </c>
      <c r="F588" s="436">
        <v>1.07</v>
      </c>
      <c r="G588" s="438"/>
      <c r="H588" s="427">
        <f t="shared" si="73"/>
        <v>13217495114091</v>
      </c>
      <c r="I588" s="439"/>
      <c r="J588" s="437"/>
      <c r="K588" s="437"/>
      <c r="L588" s="437"/>
      <c r="M588" s="437"/>
      <c r="N588" s="437"/>
      <c r="O588" s="437"/>
      <c r="P588" s="437"/>
      <c r="Q588" s="437"/>
      <c r="R588" s="437"/>
      <c r="S588" s="437"/>
      <c r="T588" s="437"/>
      <c r="U588" s="437"/>
      <c r="V588" s="437"/>
      <c r="W588" s="437"/>
      <c r="X588" s="437"/>
      <c r="Y588" s="437"/>
      <c r="Z588" s="426">
        <f ca="1" t="shared" si="71"/>
        <v>761.263636363633</v>
      </c>
    </row>
    <row r="589" spans="4:26">
      <c r="D589" s="3">
        <v>352</v>
      </c>
      <c r="E589" s="426">
        <f ca="1" t="shared" si="72"/>
        <v>764</v>
      </c>
      <c r="F589" s="436">
        <v>1.07</v>
      </c>
      <c r="G589" s="438"/>
      <c r="H589" s="427">
        <f t="shared" si="73"/>
        <v>14142719772077</v>
      </c>
      <c r="I589" s="439"/>
      <c r="J589" s="437"/>
      <c r="K589" s="437"/>
      <c r="L589" s="437"/>
      <c r="M589" s="437"/>
      <c r="N589" s="437"/>
      <c r="O589" s="437"/>
      <c r="P589" s="437"/>
      <c r="Q589" s="437"/>
      <c r="R589" s="437"/>
      <c r="S589" s="437"/>
      <c r="T589" s="437"/>
      <c r="U589" s="437"/>
      <c r="V589" s="437"/>
      <c r="W589" s="437"/>
      <c r="X589" s="437"/>
      <c r="Y589" s="437"/>
      <c r="Z589" s="426">
        <f ca="1" t="shared" si="71"/>
        <v>764.263636363633</v>
      </c>
    </row>
    <row r="590" spans="4:26">
      <c r="D590" s="3">
        <v>353</v>
      </c>
      <c r="E590" s="426">
        <f ca="1" t="shared" si="72"/>
        <v>767</v>
      </c>
      <c r="F590" s="436">
        <v>1.07</v>
      </c>
      <c r="G590" s="438"/>
      <c r="H590" s="427">
        <f t="shared" si="73"/>
        <v>15132710156122</v>
      </c>
      <c r="I590" s="439"/>
      <c r="J590" s="437"/>
      <c r="K590" s="437"/>
      <c r="L590" s="437"/>
      <c r="M590" s="437"/>
      <c r="N590" s="437"/>
      <c r="O590" s="437"/>
      <c r="P590" s="437"/>
      <c r="Q590" s="437"/>
      <c r="R590" s="437"/>
      <c r="S590" s="437"/>
      <c r="T590" s="437"/>
      <c r="U590" s="437"/>
      <c r="V590" s="437"/>
      <c r="W590" s="437"/>
      <c r="X590" s="437"/>
      <c r="Y590" s="437"/>
      <c r="Z590" s="426">
        <f ca="1" t="shared" si="71"/>
        <v>767.263636363633</v>
      </c>
    </row>
    <row r="591" spans="4:26">
      <c r="D591" s="3">
        <v>354</v>
      </c>
      <c r="E591" s="426">
        <f ca="1" t="shared" si="72"/>
        <v>770</v>
      </c>
      <c r="F591" s="436">
        <v>1.07</v>
      </c>
      <c r="G591" s="438"/>
      <c r="H591" s="427">
        <f t="shared" si="73"/>
        <v>16191999867050</v>
      </c>
      <c r="I591" s="439"/>
      <c r="J591" s="437"/>
      <c r="K591" s="437"/>
      <c r="L591" s="437"/>
      <c r="M591" s="437"/>
      <c r="N591" s="437"/>
      <c r="O591" s="437"/>
      <c r="P591" s="437"/>
      <c r="Q591" s="437"/>
      <c r="R591" s="437"/>
      <c r="S591" s="437"/>
      <c r="T591" s="437"/>
      <c r="U591" s="437"/>
      <c r="V591" s="437"/>
      <c r="W591" s="437"/>
      <c r="X591" s="437"/>
      <c r="Y591" s="437"/>
      <c r="Z591" s="426">
        <f ca="1" t="shared" si="71"/>
        <v>770.263636363633</v>
      </c>
    </row>
    <row r="592" spans="4:26">
      <c r="D592" s="3">
        <v>355</v>
      </c>
      <c r="E592" s="426">
        <f ca="1" t="shared" si="72"/>
        <v>773</v>
      </c>
      <c r="F592" s="436">
        <v>1.07</v>
      </c>
      <c r="G592" s="438"/>
      <c r="H592" s="427">
        <f t="shared" si="73"/>
        <v>17325439857743</v>
      </c>
      <c r="I592" s="439"/>
      <c r="J592" s="437"/>
      <c r="K592" s="437"/>
      <c r="L592" s="437"/>
      <c r="M592" s="437"/>
      <c r="N592" s="437"/>
      <c r="O592" s="437"/>
      <c r="P592" s="437"/>
      <c r="Q592" s="437"/>
      <c r="R592" s="437"/>
      <c r="S592" s="437"/>
      <c r="T592" s="437"/>
      <c r="U592" s="437"/>
      <c r="V592" s="437"/>
      <c r="W592" s="437"/>
      <c r="X592" s="437"/>
      <c r="Y592" s="437"/>
      <c r="Z592" s="426">
        <f ca="1" t="shared" si="71"/>
        <v>773.263636363633</v>
      </c>
    </row>
    <row r="593" spans="4:26">
      <c r="D593" s="3">
        <v>356</v>
      </c>
      <c r="E593" s="426">
        <f ca="1" t="shared" si="72"/>
        <v>776</v>
      </c>
      <c r="F593" s="436">
        <v>1.07</v>
      </c>
      <c r="G593" s="438"/>
      <c r="H593" s="427">
        <f t="shared" si="73"/>
        <v>18538220647785</v>
      </c>
      <c r="I593" s="439"/>
      <c r="J593" s="437"/>
      <c r="K593" s="437"/>
      <c r="L593" s="437"/>
      <c r="M593" s="437"/>
      <c r="N593" s="437"/>
      <c r="O593" s="437"/>
      <c r="P593" s="437"/>
      <c r="Q593" s="437"/>
      <c r="R593" s="437"/>
      <c r="S593" s="437"/>
      <c r="T593" s="437"/>
      <c r="U593" s="437"/>
      <c r="V593" s="437"/>
      <c r="W593" s="437"/>
      <c r="X593" s="437"/>
      <c r="Y593" s="437"/>
      <c r="Z593" s="426">
        <f ca="1" t="shared" si="71"/>
        <v>776.263636363633</v>
      </c>
    </row>
    <row r="594" spans="4:26">
      <c r="D594" s="3">
        <v>357</v>
      </c>
      <c r="E594" s="426">
        <f ca="1" t="shared" si="72"/>
        <v>779</v>
      </c>
      <c r="F594" s="436">
        <v>1.07</v>
      </c>
      <c r="G594" s="438"/>
      <c r="H594" s="427">
        <f t="shared" si="73"/>
        <v>19835896093130</v>
      </c>
      <c r="I594" s="439"/>
      <c r="J594" s="437"/>
      <c r="K594" s="437"/>
      <c r="L594" s="437"/>
      <c r="M594" s="437"/>
      <c r="N594" s="437"/>
      <c r="O594" s="437"/>
      <c r="P594" s="437"/>
      <c r="Q594" s="437"/>
      <c r="R594" s="437"/>
      <c r="S594" s="437"/>
      <c r="T594" s="437"/>
      <c r="U594" s="437"/>
      <c r="V594" s="437"/>
      <c r="W594" s="437"/>
      <c r="X594" s="437"/>
      <c r="Y594" s="437"/>
      <c r="Z594" s="426">
        <f ca="1" t="shared" si="71"/>
        <v>779.263636363633</v>
      </c>
    </row>
    <row r="595" spans="4:26">
      <c r="D595" s="3">
        <v>358</v>
      </c>
      <c r="E595" s="426">
        <f ca="1" t="shared" si="72"/>
        <v>782</v>
      </c>
      <c r="F595" s="436">
        <v>1.07</v>
      </c>
      <c r="G595" s="438"/>
      <c r="H595" s="427">
        <f t="shared" si="73"/>
        <v>21224408819649</v>
      </c>
      <c r="I595" s="439"/>
      <c r="J595" s="437"/>
      <c r="K595" s="437"/>
      <c r="L595" s="437"/>
      <c r="M595" s="437"/>
      <c r="N595" s="437"/>
      <c r="O595" s="437"/>
      <c r="P595" s="437"/>
      <c r="Q595" s="437"/>
      <c r="R595" s="437"/>
      <c r="S595" s="437"/>
      <c r="T595" s="437"/>
      <c r="U595" s="437"/>
      <c r="V595" s="437"/>
      <c r="W595" s="437"/>
      <c r="X595" s="437"/>
      <c r="Y595" s="437"/>
      <c r="Z595" s="426">
        <f ca="1" t="shared" ref="Z595:Z637" si="74">Z594+3</f>
        <v>782.263636363633</v>
      </c>
    </row>
    <row r="596" spans="4:26">
      <c r="D596" s="3">
        <v>359</v>
      </c>
      <c r="E596" s="426">
        <f ca="1" t="shared" si="72"/>
        <v>785</v>
      </c>
      <c r="F596" s="436">
        <v>1.07</v>
      </c>
      <c r="G596" s="438"/>
      <c r="H596" s="427">
        <f t="shared" si="73"/>
        <v>22710117437024</v>
      </c>
      <c r="I596" s="439"/>
      <c r="J596" s="437"/>
      <c r="K596" s="437"/>
      <c r="L596" s="437"/>
      <c r="M596" s="437"/>
      <c r="N596" s="437"/>
      <c r="O596" s="437"/>
      <c r="P596" s="437"/>
      <c r="Q596" s="437"/>
      <c r="R596" s="437"/>
      <c r="S596" s="437"/>
      <c r="T596" s="437"/>
      <c r="U596" s="437"/>
      <c r="V596" s="437"/>
      <c r="W596" s="437"/>
      <c r="X596" s="437"/>
      <c r="Y596" s="437"/>
      <c r="Z596" s="426">
        <f ca="1" t="shared" si="74"/>
        <v>785.263636363633</v>
      </c>
    </row>
    <row r="597" spans="4:26">
      <c r="D597" s="3">
        <v>360</v>
      </c>
      <c r="E597" s="426">
        <f ca="1" t="shared" si="72"/>
        <v>788</v>
      </c>
      <c r="F597" s="436">
        <v>1.07</v>
      </c>
      <c r="G597" s="438"/>
      <c r="H597" s="427">
        <f t="shared" si="73"/>
        <v>24299825657615</v>
      </c>
      <c r="I597" s="439"/>
      <c r="J597" s="437"/>
      <c r="K597" s="437"/>
      <c r="L597" s="437"/>
      <c r="M597" s="437"/>
      <c r="N597" s="437"/>
      <c r="O597" s="437"/>
      <c r="P597" s="437"/>
      <c r="Q597" s="437"/>
      <c r="R597" s="437"/>
      <c r="S597" s="437"/>
      <c r="T597" s="437"/>
      <c r="U597" s="437"/>
      <c r="V597" s="437"/>
      <c r="W597" s="437"/>
      <c r="X597" s="437"/>
      <c r="Y597" s="437"/>
      <c r="Z597" s="426">
        <f ca="1" t="shared" si="74"/>
        <v>788.263636363633</v>
      </c>
    </row>
    <row r="598" spans="4:26">
      <c r="D598" s="3">
        <v>361</v>
      </c>
      <c r="E598" s="426">
        <f ca="1" t="shared" si="72"/>
        <v>791</v>
      </c>
      <c r="F598" s="436">
        <v>1.07</v>
      </c>
      <c r="G598" s="438"/>
      <c r="H598" s="427">
        <f t="shared" si="73"/>
        <v>26000813453648</v>
      </c>
      <c r="I598" s="439"/>
      <c r="J598" s="437"/>
      <c r="K598" s="437"/>
      <c r="L598" s="437"/>
      <c r="M598" s="437"/>
      <c r="N598" s="437"/>
      <c r="O598" s="437"/>
      <c r="P598" s="437"/>
      <c r="Q598" s="437"/>
      <c r="R598" s="437"/>
      <c r="S598" s="437"/>
      <c r="T598" s="437"/>
      <c r="U598" s="437"/>
      <c r="V598" s="437"/>
      <c r="W598" s="437"/>
      <c r="X598" s="437"/>
      <c r="Y598" s="437"/>
      <c r="Z598" s="426">
        <f ca="1" t="shared" si="74"/>
        <v>791.263636363633</v>
      </c>
    </row>
    <row r="599" spans="4:26">
      <c r="D599" s="3">
        <v>362</v>
      </c>
      <c r="E599" s="426">
        <f ca="1" t="shared" si="72"/>
        <v>794</v>
      </c>
      <c r="F599" s="436">
        <v>1.07</v>
      </c>
      <c r="G599" s="438"/>
      <c r="H599" s="427">
        <f t="shared" si="73"/>
        <v>27820870395403</v>
      </c>
      <c r="I599" s="439"/>
      <c r="J599" s="437"/>
      <c r="K599" s="437"/>
      <c r="L599" s="437"/>
      <c r="M599" s="437"/>
      <c r="N599" s="437"/>
      <c r="O599" s="437"/>
      <c r="P599" s="437"/>
      <c r="Q599" s="437"/>
      <c r="R599" s="437"/>
      <c r="S599" s="437"/>
      <c r="T599" s="437"/>
      <c r="U599" s="437"/>
      <c r="V599" s="437"/>
      <c r="W599" s="437"/>
      <c r="X599" s="437"/>
      <c r="Y599" s="437"/>
      <c r="Z599" s="426">
        <f ca="1" t="shared" si="74"/>
        <v>794.263636363633</v>
      </c>
    </row>
    <row r="600" spans="4:26">
      <c r="D600" s="3">
        <v>363</v>
      </c>
      <c r="E600" s="426">
        <f ca="1" t="shared" si="72"/>
        <v>797</v>
      </c>
      <c r="F600" s="436">
        <v>1.07</v>
      </c>
      <c r="G600" s="438"/>
      <c r="H600" s="427">
        <f t="shared" si="73"/>
        <v>29768331323081</v>
      </c>
      <c r="I600" s="439"/>
      <c r="J600" s="437"/>
      <c r="K600" s="437"/>
      <c r="L600" s="437"/>
      <c r="M600" s="437"/>
      <c r="N600" s="437"/>
      <c r="O600" s="437"/>
      <c r="P600" s="437"/>
      <c r="Q600" s="437"/>
      <c r="R600" s="437"/>
      <c r="S600" s="437"/>
      <c r="T600" s="437"/>
      <c r="U600" s="437"/>
      <c r="V600" s="437"/>
      <c r="W600" s="437"/>
      <c r="X600" s="437"/>
      <c r="Y600" s="437"/>
      <c r="Z600" s="426">
        <f ca="1" t="shared" si="74"/>
        <v>797.263636363633</v>
      </c>
    </row>
    <row r="601" spans="4:26">
      <c r="D601" s="3">
        <v>364</v>
      </c>
      <c r="E601" s="426">
        <f ca="1" t="shared" si="72"/>
        <v>800</v>
      </c>
      <c r="F601" s="436">
        <v>1.07</v>
      </c>
      <c r="G601" s="438"/>
      <c r="H601" s="427">
        <f t="shared" si="73"/>
        <v>31852114515696</v>
      </c>
      <c r="I601" s="439"/>
      <c r="J601" s="437"/>
      <c r="K601" s="437"/>
      <c r="L601" s="437"/>
      <c r="M601" s="437"/>
      <c r="N601" s="437"/>
      <c r="O601" s="437"/>
      <c r="P601" s="437"/>
      <c r="Q601" s="437"/>
      <c r="R601" s="437"/>
      <c r="S601" s="437"/>
      <c r="T601" s="437"/>
      <c r="U601" s="437"/>
      <c r="V601" s="437"/>
      <c r="W601" s="437"/>
      <c r="X601" s="437"/>
      <c r="Y601" s="437"/>
      <c r="Z601" s="426">
        <f ca="1" t="shared" si="74"/>
        <v>800.263636363633</v>
      </c>
    </row>
    <row r="602" spans="4:26">
      <c r="D602" s="3">
        <v>365</v>
      </c>
      <c r="E602" s="426">
        <f ca="1" t="shared" si="72"/>
        <v>803</v>
      </c>
      <c r="F602" s="436">
        <v>1.07</v>
      </c>
      <c r="G602" s="438"/>
      <c r="H602" s="427">
        <f t="shared" si="73"/>
        <v>34081762531794</v>
      </c>
      <c r="I602" s="439"/>
      <c r="J602" s="437"/>
      <c r="K602" s="437"/>
      <c r="L602" s="437"/>
      <c r="M602" s="437"/>
      <c r="N602" s="437"/>
      <c r="O602" s="437"/>
      <c r="P602" s="437"/>
      <c r="Q602" s="437"/>
      <c r="R602" s="437"/>
      <c r="S602" s="437"/>
      <c r="T602" s="437"/>
      <c r="U602" s="437"/>
      <c r="V602" s="437"/>
      <c r="W602" s="437"/>
      <c r="X602" s="437"/>
      <c r="Y602" s="437"/>
      <c r="Z602" s="426">
        <f ca="1" t="shared" si="74"/>
        <v>803.263636363633</v>
      </c>
    </row>
    <row r="603" spans="4:26">
      <c r="D603" s="3">
        <v>366</v>
      </c>
      <c r="E603" s="426">
        <f ca="1" t="shared" si="72"/>
        <v>806</v>
      </c>
      <c r="F603" s="436">
        <v>1.07</v>
      </c>
      <c r="G603" s="438"/>
      <c r="H603" s="427">
        <f t="shared" si="73"/>
        <v>36467485909019</v>
      </c>
      <c r="I603" s="439"/>
      <c r="J603" s="437"/>
      <c r="K603" s="437"/>
      <c r="L603" s="437"/>
      <c r="M603" s="437"/>
      <c r="N603" s="437"/>
      <c r="O603" s="437"/>
      <c r="P603" s="437"/>
      <c r="Q603" s="437"/>
      <c r="R603" s="437"/>
      <c r="S603" s="437"/>
      <c r="T603" s="437"/>
      <c r="U603" s="437"/>
      <c r="V603" s="437"/>
      <c r="W603" s="437"/>
      <c r="X603" s="437"/>
      <c r="Y603" s="437"/>
      <c r="Z603" s="426">
        <f ca="1" t="shared" si="74"/>
        <v>806.263636363633</v>
      </c>
    </row>
    <row r="604" spans="4:26">
      <c r="D604" s="3">
        <v>367</v>
      </c>
      <c r="E604" s="426">
        <f ca="1" t="shared" si="72"/>
        <v>809</v>
      </c>
      <c r="F604" s="436">
        <v>1.07</v>
      </c>
      <c r="G604" s="438"/>
      <c r="H604" s="427">
        <f t="shared" si="73"/>
        <v>39020209922650</v>
      </c>
      <c r="I604" s="439"/>
      <c r="J604" s="437"/>
      <c r="K604" s="437"/>
      <c r="L604" s="437"/>
      <c r="M604" s="437"/>
      <c r="N604" s="437"/>
      <c r="O604" s="437"/>
      <c r="P604" s="437"/>
      <c r="Q604" s="437"/>
      <c r="R604" s="437"/>
      <c r="S604" s="437"/>
      <c r="T604" s="437"/>
      <c r="U604" s="437"/>
      <c r="V604" s="437"/>
      <c r="W604" s="437"/>
      <c r="X604" s="437"/>
      <c r="Y604" s="437"/>
      <c r="Z604" s="426">
        <f ca="1" t="shared" si="74"/>
        <v>809.263636363633</v>
      </c>
    </row>
    <row r="605" spans="4:26">
      <c r="D605" s="3">
        <v>368</v>
      </c>
      <c r="E605" s="426">
        <f ca="1" t="shared" si="72"/>
        <v>812</v>
      </c>
      <c r="F605" s="436">
        <v>1.07</v>
      </c>
      <c r="G605" s="438"/>
      <c r="H605" s="427">
        <f t="shared" si="73"/>
        <v>41751624617235</v>
      </c>
      <c r="I605" s="439"/>
      <c r="J605" s="437"/>
      <c r="K605" s="437"/>
      <c r="L605" s="437"/>
      <c r="M605" s="437"/>
      <c r="N605" s="437"/>
      <c r="O605" s="437"/>
      <c r="P605" s="437"/>
      <c r="Q605" s="437"/>
      <c r="R605" s="437"/>
      <c r="S605" s="437"/>
      <c r="T605" s="437"/>
      <c r="U605" s="437"/>
      <c r="V605" s="437"/>
      <c r="W605" s="437"/>
      <c r="X605" s="437"/>
      <c r="Y605" s="437"/>
      <c r="Z605" s="426">
        <f ca="1" t="shared" si="74"/>
        <v>812.263636363633</v>
      </c>
    </row>
    <row r="606" spans="4:26">
      <c r="D606" s="3">
        <v>369</v>
      </c>
      <c r="E606" s="426">
        <f ca="1" t="shared" si="72"/>
        <v>815</v>
      </c>
      <c r="F606" s="436">
        <v>1.07</v>
      </c>
      <c r="G606" s="438"/>
      <c r="H606" s="427">
        <f t="shared" si="73"/>
        <v>44674238340441</v>
      </c>
      <c r="I606" s="439"/>
      <c r="J606" s="437"/>
      <c r="K606" s="437"/>
      <c r="L606" s="437"/>
      <c r="M606" s="437"/>
      <c r="N606" s="437"/>
      <c r="O606" s="437"/>
      <c r="P606" s="437"/>
      <c r="Q606" s="437"/>
      <c r="R606" s="437"/>
      <c r="S606" s="437"/>
      <c r="T606" s="437"/>
      <c r="U606" s="437"/>
      <c r="V606" s="437"/>
      <c r="W606" s="437"/>
      <c r="X606" s="437"/>
      <c r="Y606" s="437"/>
      <c r="Z606" s="426">
        <f ca="1" t="shared" si="74"/>
        <v>815.263636363633</v>
      </c>
    </row>
    <row r="607" spans="4:26">
      <c r="D607" s="3">
        <v>370</v>
      </c>
      <c r="E607" s="426">
        <f ca="1" t="shared" si="72"/>
        <v>818</v>
      </c>
      <c r="F607" s="436">
        <v>1.07</v>
      </c>
      <c r="G607" s="438"/>
      <c r="H607" s="427">
        <f t="shared" si="73"/>
        <v>47801435024271</v>
      </c>
      <c r="I607" s="439"/>
      <c r="J607" s="437"/>
      <c r="K607" s="437"/>
      <c r="L607" s="437"/>
      <c r="M607" s="437"/>
      <c r="N607" s="437"/>
      <c r="O607" s="437"/>
      <c r="P607" s="437"/>
      <c r="Q607" s="437"/>
      <c r="R607" s="437"/>
      <c r="S607" s="437"/>
      <c r="T607" s="437"/>
      <c r="U607" s="437"/>
      <c r="V607" s="437"/>
      <c r="W607" s="437"/>
      <c r="X607" s="437"/>
      <c r="Y607" s="437"/>
      <c r="Z607" s="426">
        <f ca="1" t="shared" si="74"/>
        <v>818.263636363633</v>
      </c>
    </row>
    <row r="608" spans="4:26">
      <c r="D608" s="3">
        <v>371</v>
      </c>
      <c r="E608" s="426">
        <f ca="1" t="shared" si="72"/>
        <v>821</v>
      </c>
      <c r="F608" s="436">
        <v>1.07</v>
      </c>
      <c r="G608" s="438"/>
      <c r="H608" s="427">
        <f t="shared" si="73"/>
        <v>51147535475970</v>
      </c>
      <c r="I608" s="439"/>
      <c r="J608" s="437"/>
      <c r="K608" s="437"/>
      <c r="L608" s="437"/>
      <c r="M608" s="437"/>
      <c r="N608" s="437"/>
      <c r="O608" s="437"/>
      <c r="P608" s="437"/>
      <c r="Q608" s="437"/>
      <c r="R608" s="437"/>
      <c r="S608" s="437"/>
      <c r="T608" s="437"/>
      <c r="U608" s="437"/>
      <c r="V608" s="437"/>
      <c r="W608" s="437"/>
      <c r="X608" s="437"/>
      <c r="Y608" s="437"/>
      <c r="Z608" s="426">
        <f ca="1" t="shared" si="74"/>
        <v>821.263636363633</v>
      </c>
    </row>
    <row r="609" spans="4:26">
      <c r="D609" s="3">
        <v>372</v>
      </c>
      <c r="E609" s="426">
        <f ca="1" t="shared" si="72"/>
        <v>824</v>
      </c>
      <c r="F609" s="436">
        <v>1.07</v>
      </c>
      <c r="G609" s="438"/>
      <c r="H609" s="427">
        <f t="shared" si="73"/>
        <v>54727862959287</v>
      </c>
      <c r="I609" s="439"/>
      <c r="J609" s="437"/>
      <c r="K609" s="437"/>
      <c r="L609" s="437"/>
      <c r="M609" s="437"/>
      <c r="N609" s="437"/>
      <c r="O609" s="437"/>
      <c r="P609" s="437"/>
      <c r="Q609" s="437"/>
      <c r="R609" s="437"/>
      <c r="S609" s="437"/>
      <c r="T609" s="437"/>
      <c r="U609" s="437"/>
      <c r="V609" s="437"/>
      <c r="W609" s="437"/>
      <c r="X609" s="437"/>
      <c r="Y609" s="437"/>
      <c r="Z609" s="426">
        <f ca="1" t="shared" si="74"/>
        <v>824.263636363633</v>
      </c>
    </row>
    <row r="610" spans="4:26">
      <c r="D610" s="3">
        <v>373</v>
      </c>
      <c r="E610" s="426">
        <f ca="1" t="shared" si="72"/>
        <v>827</v>
      </c>
      <c r="F610" s="436">
        <v>1.07</v>
      </c>
      <c r="G610" s="438"/>
      <c r="H610" s="427">
        <f t="shared" si="73"/>
        <v>58558813366437</v>
      </c>
      <c r="I610" s="439"/>
      <c r="J610" s="437"/>
      <c r="K610" s="437"/>
      <c r="L610" s="437"/>
      <c r="M610" s="437"/>
      <c r="N610" s="437"/>
      <c r="O610" s="437"/>
      <c r="P610" s="437"/>
      <c r="Q610" s="437"/>
      <c r="R610" s="437"/>
      <c r="S610" s="437"/>
      <c r="T610" s="437"/>
      <c r="U610" s="437"/>
      <c r="V610" s="437"/>
      <c r="W610" s="437"/>
      <c r="X610" s="437"/>
      <c r="Y610" s="437"/>
      <c r="Z610" s="426">
        <f ca="1" t="shared" si="74"/>
        <v>827.263636363633</v>
      </c>
    </row>
    <row r="611" spans="4:26">
      <c r="D611" s="3">
        <v>374</v>
      </c>
      <c r="E611" s="426">
        <f ca="1" t="shared" si="72"/>
        <v>830</v>
      </c>
      <c r="F611" s="436">
        <v>1.07</v>
      </c>
      <c r="G611" s="438"/>
      <c r="H611" s="427">
        <f t="shared" si="73"/>
        <v>62657930302087</v>
      </c>
      <c r="I611" s="439"/>
      <c r="J611" s="437"/>
      <c r="K611" s="437"/>
      <c r="L611" s="437"/>
      <c r="M611" s="437"/>
      <c r="N611" s="437"/>
      <c r="O611" s="437"/>
      <c r="P611" s="437"/>
      <c r="Q611" s="437"/>
      <c r="R611" s="437"/>
      <c r="S611" s="437"/>
      <c r="T611" s="437"/>
      <c r="U611" s="437"/>
      <c r="V611" s="437"/>
      <c r="W611" s="437"/>
      <c r="X611" s="437"/>
      <c r="Y611" s="437"/>
      <c r="Z611" s="426">
        <f ca="1" t="shared" si="74"/>
        <v>830.263636363633</v>
      </c>
    </row>
    <row r="612" spans="4:26">
      <c r="D612" s="3">
        <v>375</v>
      </c>
      <c r="E612" s="426">
        <f ca="1" t="shared" si="72"/>
        <v>833</v>
      </c>
      <c r="F612" s="436">
        <v>1.07</v>
      </c>
      <c r="G612" s="438"/>
      <c r="H612" s="427">
        <f t="shared" si="73"/>
        <v>67043985423233</v>
      </c>
      <c r="I612" s="439"/>
      <c r="J612" s="437"/>
      <c r="K612" s="437"/>
      <c r="L612" s="437"/>
      <c r="M612" s="437"/>
      <c r="N612" s="437"/>
      <c r="O612" s="437"/>
      <c r="P612" s="437"/>
      <c r="Q612" s="437"/>
      <c r="R612" s="437"/>
      <c r="S612" s="437"/>
      <c r="T612" s="437"/>
      <c r="U612" s="437"/>
      <c r="V612" s="437"/>
      <c r="W612" s="437"/>
      <c r="X612" s="437"/>
      <c r="Y612" s="437"/>
      <c r="Z612" s="426">
        <f ca="1" t="shared" si="74"/>
        <v>833.263636363633</v>
      </c>
    </row>
    <row r="613" spans="4:26">
      <c r="D613" s="3">
        <v>376</v>
      </c>
      <c r="E613" s="426">
        <f ca="1" t="shared" si="72"/>
        <v>836</v>
      </c>
      <c r="F613" s="436">
        <v>1.07</v>
      </c>
      <c r="G613" s="438"/>
      <c r="H613" s="427">
        <f t="shared" si="73"/>
        <v>71737064402859</v>
      </c>
      <c r="I613" s="439"/>
      <c r="J613" s="437"/>
      <c r="K613" s="437"/>
      <c r="L613" s="437"/>
      <c r="M613" s="437"/>
      <c r="N613" s="437"/>
      <c r="O613" s="437"/>
      <c r="P613" s="437"/>
      <c r="Q613" s="437"/>
      <c r="R613" s="437"/>
      <c r="S613" s="437"/>
      <c r="T613" s="437"/>
      <c r="U613" s="437"/>
      <c r="V613" s="437"/>
      <c r="W613" s="437"/>
      <c r="X613" s="437"/>
      <c r="Y613" s="437"/>
      <c r="Z613" s="426">
        <f ca="1" t="shared" si="74"/>
        <v>836.263636363633</v>
      </c>
    </row>
    <row r="614" spans="4:26">
      <c r="D614" s="3">
        <v>377</v>
      </c>
      <c r="E614" s="426">
        <f ca="1" t="shared" si="72"/>
        <v>839</v>
      </c>
      <c r="F614" s="436">
        <v>1.07</v>
      </c>
      <c r="G614" s="438"/>
      <c r="H614" s="427">
        <f t="shared" si="73"/>
        <v>76758658911059</v>
      </c>
      <c r="I614" s="439"/>
      <c r="J614" s="437"/>
      <c r="K614" s="437"/>
      <c r="L614" s="437"/>
      <c r="M614" s="437"/>
      <c r="N614" s="437"/>
      <c r="O614" s="437"/>
      <c r="P614" s="437"/>
      <c r="Q614" s="437"/>
      <c r="R614" s="437"/>
      <c r="S614" s="437"/>
      <c r="T614" s="437"/>
      <c r="U614" s="437"/>
      <c r="V614" s="437"/>
      <c r="W614" s="437"/>
      <c r="X614" s="437"/>
      <c r="Y614" s="437"/>
      <c r="Z614" s="426">
        <f ca="1" t="shared" si="74"/>
        <v>839.263636363633</v>
      </c>
    </row>
    <row r="615" spans="4:26">
      <c r="D615" s="3">
        <v>378</v>
      </c>
      <c r="E615" s="426">
        <f ca="1" t="shared" si="72"/>
        <v>842</v>
      </c>
      <c r="F615" s="436">
        <v>1.07</v>
      </c>
      <c r="G615" s="438"/>
      <c r="H615" s="427">
        <f t="shared" si="73"/>
        <v>82131765034833</v>
      </c>
      <c r="I615" s="439"/>
      <c r="J615" s="437"/>
      <c r="K615" s="437"/>
      <c r="L615" s="437"/>
      <c r="M615" s="437"/>
      <c r="N615" s="437"/>
      <c r="O615" s="437"/>
      <c r="P615" s="437"/>
      <c r="Q615" s="437"/>
      <c r="R615" s="437"/>
      <c r="S615" s="437"/>
      <c r="T615" s="437"/>
      <c r="U615" s="437"/>
      <c r="V615" s="437"/>
      <c r="W615" s="437"/>
      <c r="X615" s="437"/>
      <c r="Y615" s="437"/>
      <c r="Z615" s="426">
        <f ca="1" t="shared" si="74"/>
        <v>842.263636363633</v>
      </c>
    </row>
    <row r="616" spans="4:26">
      <c r="D616" s="3">
        <v>379</v>
      </c>
      <c r="E616" s="426">
        <f ca="1" t="shared" si="72"/>
        <v>845</v>
      </c>
      <c r="F616" s="436">
        <v>1.07</v>
      </c>
      <c r="G616" s="438"/>
      <c r="H616" s="427">
        <f t="shared" si="73"/>
        <v>87880988587271</v>
      </c>
      <c r="I616" s="439"/>
      <c r="J616" s="437"/>
      <c r="K616" s="437"/>
      <c r="L616" s="437"/>
      <c r="M616" s="437"/>
      <c r="N616" s="437"/>
      <c r="O616" s="437"/>
      <c r="P616" s="437"/>
      <c r="Q616" s="437"/>
      <c r="R616" s="437"/>
      <c r="S616" s="437"/>
      <c r="T616" s="437"/>
      <c r="U616" s="437"/>
      <c r="V616" s="437"/>
      <c r="W616" s="437"/>
      <c r="X616" s="437"/>
      <c r="Y616" s="437"/>
      <c r="Z616" s="426">
        <f ca="1" t="shared" si="74"/>
        <v>845.263636363633</v>
      </c>
    </row>
    <row r="617" spans="4:26">
      <c r="D617" s="3">
        <v>380</v>
      </c>
      <c r="E617" s="426">
        <f ca="1" t="shared" si="72"/>
        <v>848</v>
      </c>
      <c r="F617" s="436">
        <v>1.07</v>
      </c>
      <c r="G617" s="438"/>
      <c r="H617" s="427">
        <f t="shared" si="73"/>
        <v>94032657788380</v>
      </c>
      <c r="I617" s="439"/>
      <c r="J617" s="437"/>
      <c r="K617" s="437"/>
      <c r="L617" s="437"/>
      <c r="M617" s="437"/>
      <c r="N617" s="437"/>
      <c r="O617" s="437"/>
      <c r="P617" s="437"/>
      <c r="Q617" s="437"/>
      <c r="R617" s="437"/>
      <c r="S617" s="437"/>
      <c r="T617" s="437"/>
      <c r="U617" s="437"/>
      <c r="V617" s="437"/>
      <c r="W617" s="437"/>
      <c r="X617" s="437"/>
      <c r="Y617" s="437"/>
      <c r="Z617" s="426">
        <f ca="1" t="shared" si="74"/>
        <v>848.263636363633</v>
      </c>
    </row>
    <row r="618" spans="4:26">
      <c r="D618" s="3">
        <v>381</v>
      </c>
      <c r="E618" s="426">
        <f ca="1" t="shared" si="72"/>
        <v>851</v>
      </c>
      <c r="F618" s="436">
        <v>1.07</v>
      </c>
      <c r="G618" s="438"/>
      <c r="H618" s="427">
        <f t="shared" si="73"/>
        <v>100614943833567</v>
      </c>
      <c r="I618" s="439"/>
      <c r="J618" s="437"/>
      <c r="K618" s="437"/>
      <c r="L618" s="437"/>
      <c r="M618" s="437"/>
      <c r="N618" s="437"/>
      <c r="O618" s="437"/>
      <c r="P618" s="437"/>
      <c r="Q618" s="437"/>
      <c r="R618" s="437"/>
      <c r="S618" s="437"/>
      <c r="T618" s="437"/>
      <c r="U618" s="437"/>
      <c r="V618" s="437"/>
      <c r="W618" s="437"/>
      <c r="X618" s="437"/>
      <c r="Y618" s="437"/>
      <c r="Z618" s="426">
        <f ca="1" t="shared" si="74"/>
        <v>851.263636363633</v>
      </c>
    </row>
    <row r="619" spans="4:26">
      <c r="D619" s="3">
        <v>382</v>
      </c>
      <c r="E619" s="426">
        <f ca="1" t="shared" si="72"/>
        <v>854</v>
      </c>
      <c r="F619" s="436">
        <v>1.07</v>
      </c>
      <c r="G619" s="438"/>
      <c r="H619" s="427">
        <f t="shared" si="73"/>
        <v>107657989901917</v>
      </c>
      <c r="I619" s="439"/>
      <c r="J619" s="437"/>
      <c r="K619" s="437"/>
      <c r="L619" s="437"/>
      <c r="M619" s="437"/>
      <c r="N619" s="437"/>
      <c r="O619" s="437"/>
      <c r="P619" s="437"/>
      <c r="Q619" s="437"/>
      <c r="R619" s="437"/>
      <c r="S619" s="437"/>
      <c r="T619" s="437"/>
      <c r="U619" s="437"/>
      <c r="V619" s="437"/>
      <c r="W619" s="437"/>
      <c r="X619" s="437"/>
      <c r="Y619" s="437"/>
      <c r="Z619" s="426">
        <f ca="1" t="shared" si="74"/>
        <v>854.263636363633</v>
      </c>
    </row>
    <row r="620" spans="4:26">
      <c r="D620" s="3">
        <v>383</v>
      </c>
      <c r="E620" s="426">
        <f ca="1" t="shared" si="72"/>
        <v>857</v>
      </c>
      <c r="F620" s="436">
        <v>1.07</v>
      </c>
      <c r="G620" s="438"/>
      <c r="H620" s="427">
        <f t="shared" si="73"/>
        <v>115194049195051</v>
      </c>
      <c r="I620" s="439"/>
      <c r="J620" s="437"/>
      <c r="K620" s="437"/>
      <c r="L620" s="437"/>
      <c r="M620" s="437"/>
      <c r="N620" s="437"/>
      <c r="O620" s="437"/>
      <c r="P620" s="437"/>
      <c r="Q620" s="437"/>
      <c r="R620" s="437"/>
      <c r="S620" s="437"/>
      <c r="T620" s="437"/>
      <c r="U620" s="437"/>
      <c r="V620" s="437"/>
      <c r="W620" s="437"/>
      <c r="X620" s="437"/>
      <c r="Y620" s="437"/>
      <c r="Z620" s="426">
        <f ca="1" t="shared" si="74"/>
        <v>857.263636363633</v>
      </c>
    </row>
    <row r="621" spans="4:26">
      <c r="D621" s="3">
        <v>384</v>
      </c>
      <c r="E621" s="426">
        <f ca="1" t="shared" si="72"/>
        <v>860</v>
      </c>
      <c r="F621" s="436">
        <v>1.07</v>
      </c>
      <c r="G621" s="438"/>
      <c r="H621" s="427">
        <f t="shared" si="73"/>
        <v>123257632638705</v>
      </c>
      <c r="I621" s="439"/>
      <c r="J621" s="437"/>
      <c r="K621" s="437"/>
      <c r="L621" s="437"/>
      <c r="M621" s="437"/>
      <c r="N621" s="437"/>
      <c r="O621" s="437"/>
      <c r="P621" s="437"/>
      <c r="Q621" s="437"/>
      <c r="R621" s="437"/>
      <c r="S621" s="437"/>
      <c r="T621" s="437"/>
      <c r="U621" s="437"/>
      <c r="V621" s="437"/>
      <c r="W621" s="437"/>
      <c r="X621" s="437"/>
      <c r="Y621" s="437"/>
      <c r="Z621" s="426">
        <f ca="1" t="shared" si="74"/>
        <v>860.263636363633</v>
      </c>
    </row>
    <row r="622" spans="4:26">
      <c r="D622" s="3">
        <v>385</v>
      </c>
      <c r="E622" s="426">
        <f ca="1" t="shared" si="72"/>
        <v>863</v>
      </c>
      <c r="F622" s="436">
        <v>1.07</v>
      </c>
      <c r="G622" s="438"/>
      <c r="H622" s="427">
        <f t="shared" si="73"/>
        <v>131885666923414</v>
      </c>
      <c r="I622" s="439"/>
      <c r="J622" s="437"/>
      <c r="K622" s="437"/>
      <c r="L622" s="437"/>
      <c r="M622" s="437"/>
      <c r="N622" s="437"/>
      <c r="O622" s="437"/>
      <c r="P622" s="437"/>
      <c r="Q622" s="437"/>
      <c r="R622" s="437"/>
      <c r="S622" s="437"/>
      <c r="T622" s="437"/>
      <c r="U622" s="437"/>
      <c r="V622" s="437"/>
      <c r="W622" s="437"/>
      <c r="X622" s="437"/>
      <c r="Y622" s="437"/>
      <c r="Z622" s="426">
        <f ca="1" t="shared" si="74"/>
        <v>863.263636363633</v>
      </c>
    </row>
    <row r="623" spans="4:26">
      <c r="D623" s="3">
        <v>386</v>
      </c>
      <c r="E623" s="426">
        <f ca="1" t="shared" ref="E623:E637" si="75">INT(Z623)</f>
        <v>866</v>
      </c>
      <c r="F623" s="436">
        <v>1.07</v>
      </c>
      <c r="G623" s="438"/>
      <c r="H623" s="427">
        <f t="shared" ref="H623:H637" si="76">INT(H622*F623)</f>
        <v>141117663608053</v>
      </c>
      <c r="I623" s="439"/>
      <c r="J623" s="437"/>
      <c r="K623" s="437"/>
      <c r="L623" s="437"/>
      <c r="M623" s="437"/>
      <c r="N623" s="437"/>
      <c r="O623" s="437"/>
      <c r="P623" s="437"/>
      <c r="Q623" s="437"/>
      <c r="R623" s="437"/>
      <c r="S623" s="437"/>
      <c r="T623" s="437"/>
      <c r="U623" s="437"/>
      <c r="V623" s="437"/>
      <c r="W623" s="437"/>
      <c r="X623" s="437"/>
      <c r="Y623" s="437"/>
      <c r="Z623" s="426">
        <f ca="1" t="shared" si="74"/>
        <v>866.263636363633</v>
      </c>
    </row>
    <row r="624" spans="4:26">
      <c r="D624" s="3">
        <v>387</v>
      </c>
      <c r="E624" s="426">
        <f ca="1" t="shared" si="75"/>
        <v>869</v>
      </c>
      <c r="F624" s="436">
        <v>1.07</v>
      </c>
      <c r="G624" s="438"/>
      <c r="H624" s="427">
        <f t="shared" si="76"/>
        <v>150995900060617</v>
      </c>
      <c r="I624" s="439"/>
      <c r="J624" s="437"/>
      <c r="K624" s="437"/>
      <c r="L624" s="437"/>
      <c r="M624" s="437"/>
      <c r="N624" s="437"/>
      <c r="O624" s="437"/>
      <c r="P624" s="437"/>
      <c r="Q624" s="437"/>
      <c r="R624" s="437"/>
      <c r="S624" s="437"/>
      <c r="T624" s="437"/>
      <c r="U624" s="437"/>
      <c r="V624" s="437"/>
      <c r="W624" s="437"/>
      <c r="X624" s="437"/>
      <c r="Y624" s="437"/>
      <c r="Z624" s="426">
        <f ca="1" t="shared" si="74"/>
        <v>869.263636363633</v>
      </c>
    </row>
    <row r="625" spans="4:26">
      <c r="D625" s="3">
        <v>388</v>
      </c>
      <c r="E625" s="426">
        <f ca="1" t="shared" si="75"/>
        <v>872</v>
      </c>
      <c r="F625" s="436">
        <v>1.07</v>
      </c>
      <c r="G625" s="438"/>
      <c r="H625" s="427">
        <f t="shared" si="76"/>
        <v>161565613064860</v>
      </c>
      <c r="I625" s="439"/>
      <c r="J625" s="437"/>
      <c r="K625" s="437"/>
      <c r="L625" s="437"/>
      <c r="M625" s="437"/>
      <c r="N625" s="437"/>
      <c r="O625" s="437"/>
      <c r="P625" s="437"/>
      <c r="Q625" s="437"/>
      <c r="R625" s="437"/>
      <c r="S625" s="437"/>
      <c r="T625" s="437"/>
      <c r="U625" s="437"/>
      <c r="V625" s="437"/>
      <c r="W625" s="437"/>
      <c r="X625" s="437"/>
      <c r="Y625" s="437"/>
      <c r="Z625" s="426">
        <f ca="1" t="shared" si="74"/>
        <v>872.263636363633</v>
      </c>
    </row>
    <row r="626" spans="4:26">
      <c r="D626" s="3">
        <v>389</v>
      </c>
      <c r="E626" s="426">
        <f ca="1" t="shared" si="75"/>
        <v>875</v>
      </c>
      <c r="F626" s="436">
        <v>1.07</v>
      </c>
      <c r="G626" s="438"/>
      <c r="H626" s="427">
        <f t="shared" si="76"/>
        <v>172875205979400</v>
      </c>
      <c r="I626" s="439"/>
      <c r="J626" s="437"/>
      <c r="K626" s="437"/>
      <c r="L626" s="437"/>
      <c r="M626" s="437"/>
      <c r="N626" s="437"/>
      <c r="O626" s="437"/>
      <c r="P626" s="437"/>
      <c r="Q626" s="437"/>
      <c r="R626" s="437"/>
      <c r="S626" s="437"/>
      <c r="T626" s="437"/>
      <c r="U626" s="437"/>
      <c r="V626" s="437"/>
      <c r="W626" s="437"/>
      <c r="X626" s="437"/>
      <c r="Y626" s="437"/>
      <c r="Z626" s="426">
        <f ca="1" t="shared" si="74"/>
        <v>875.263636363633</v>
      </c>
    </row>
    <row r="627" spans="4:26">
      <c r="D627" s="3">
        <v>390</v>
      </c>
      <c r="E627" s="426">
        <f ca="1" t="shared" si="75"/>
        <v>878</v>
      </c>
      <c r="F627" s="436">
        <v>1.07</v>
      </c>
      <c r="G627" s="438"/>
      <c r="H627" s="427">
        <f t="shared" si="76"/>
        <v>184976470397958</v>
      </c>
      <c r="I627" s="439"/>
      <c r="J627" s="437"/>
      <c r="K627" s="437"/>
      <c r="L627" s="437"/>
      <c r="M627" s="437"/>
      <c r="N627" s="437"/>
      <c r="O627" s="437"/>
      <c r="P627" s="437"/>
      <c r="Q627" s="437"/>
      <c r="R627" s="437"/>
      <c r="S627" s="437"/>
      <c r="T627" s="437"/>
      <c r="U627" s="437"/>
      <c r="V627" s="437"/>
      <c r="W627" s="437"/>
      <c r="X627" s="437"/>
      <c r="Y627" s="437"/>
      <c r="Z627" s="426">
        <f ca="1" t="shared" si="74"/>
        <v>878.263636363633</v>
      </c>
    </row>
    <row r="628" spans="4:26">
      <c r="D628" s="3">
        <v>391</v>
      </c>
      <c r="E628" s="426">
        <f ca="1" t="shared" si="75"/>
        <v>881</v>
      </c>
      <c r="F628" s="436">
        <v>1.07</v>
      </c>
      <c r="G628" s="438"/>
      <c r="H628" s="427">
        <f t="shared" si="76"/>
        <v>197924823325815</v>
      </c>
      <c r="I628" s="439"/>
      <c r="J628" s="437"/>
      <c r="K628" s="437"/>
      <c r="L628" s="437"/>
      <c r="M628" s="437"/>
      <c r="N628" s="437"/>
      <c r="O628" s="437"/>
      <c r="P628" s="437"/>
      <c r="Q628" s="437"/>
      <c r="R628" s="437"/>
      <c r="S628" s="437"/>
      <c r="T628" s="437"/>
      <c r="U628" s="437"/>
      <c r="V628" s="437"/>
      <c r="W628" s="437"/>
      <c r="X628" s="437"/>
      <c r="Y628" s="437"/>
      <c r="Z628" s="426">
        <f ca="1" t="shared" si="74"/>
        <v>881.263636363633</v>
      </c>
    </row>
    <row r="629" spans="4:26">
      <c r="D629" s="3">
        <v>392</v>
      </c>
      <c r="E629" s="426">
        <f ca="1" t="shared" si="75"/>
        <v>884</v>
      </c>
      <c r="F629" s="436">
        <v>1.07</v>
      </c>
      <c r="G629" s="438"/>
      <c r="H629" s="427">
        <f t="shared" si="76"/>
        <v>211779560958622</v>
      </c>
      <c r="I629" s="439"/>
      <c r="J629" s="437"/>
      <c r="K629" s="437"/>
      <c r="L629" s="437"/>
      <c r="M629" s="437"/>
      <c r="N629" s="437"/>
      <c r="O629" s="437"/>
      <c r="P629" s="437"/>
      <c r="Q629" s="437"/>
      <c r="R629" s="437"/>
      <c r="S629" s="437"/>
      <c r="T629" s="437"/>
      <c r="U629" s="437"/>
      <c r="V629" s="437"/>
      <c r="W629" s="437"/>
      <c r="X629" s="437"/>
      <c r="Y629" s="437"/>
      <c r="Z629" s="426">
        <f ca="1" t="shared" si="74"/>
        <v>884.263636363633</v>
      </c>
    </row>
    <row r="630" spans="4:26">
      <c r="D630" s="3">
        <v>393</v>
      </c>
      <c r="E630" s="426">
        <f ca="1" t="shared" si="75"/>
        <v>887</v>
      </c>
      <c r="F630" s="436">
        <v>1.07</v>
      </c>
      <c r="G630" s="438"/>
      <c r="H630" s="427">
        <f t="shared" si="76"/>
        <v>226604130225726</v>
      </c>
      <c r="I630" s="439"/>
      <c r="J630" s="437"/>
      <c r="K630" s="437"/>
      <c r="L630" s="437"/>
      <c r="M630" s="437"/>
      <c r="N630" s="437"/>
      <c r="O630" s="437"/>
      <c r="P630" s="437"/>
      <c r="Q630" s="437"/>
      <c r="R630" s="437"/>
      <c r="S630" s="437"/>
      <c r="T630" s="437"/>
      <c r="U630" s="437"/>
      <c r="V630" s="437"/>
      <c r="W630" s="437"/>
      <c r="X630" s="437"/>
      <c r="Y630" s="437"/>
      <c r="Z630" s="426">
        <f ca="1" t="shared" si="74"/>
        <v>887.263636363633</v>
      </c>
    </row>
    <row r="631" spans="4:26">
      <c r="D631" s="3">
        <v>394</v>
      </c>
      <c r="E631" s="426">
        <f ca="1" t="shared" si="75"/>
        <v>890</v>
      </c>
      <c r="F631" s="436">
        <v>1.07</v>
      </c>
      <c r="G631" s="438"/>
      <c r="H631" s="427">
        <f t="shared" si="76"/>
        <v>242466419341527</v>
      </c>
      <c r="I631" s="439"/>
      <c r="J631" s="437"/>
      <c r="K631" s="437"/>
      <c r="L631" s="437"/>
      <c r="M631" s="437"/>
      <c r="N631" s="437"/>
      <c r="O631" s="437"/>
      <c r="P631" s="437"/>
      <c r="Q631" s="437"/>
      <c r="R631" s="437"/>
      <c r="S631" s="437"/>
      <c r="T631" s="437"/>
      <c r="U631" s="437"/>
      <c r="V631" s="437"/>
      <c r="W631" s="437"/>
      <c r="X631" s="437"/>
      <c r="Y631" s="437"/>
      <c r="Z631" s="426">
        <f ca="1" t="shared" si="74"/>
        <v>890.263636363633</v>
      </c>
    </row>
    <row r="632" spans="4:26">
      <c r="D632" s="3">
        <v>395</v>
      </c>
      <c r="E632" s="426">
        <f ca="1" t="shared" si="75"/>
        <v>893</v>
      </c>
      <c r="F632" s="436">
        <v>1.07</v>
      </c>
      <c r="G632" s="438"/>
      <c r="H632" s="427">
        <f t="shared" si="76"/>
        <v>259439068695434</v>
      </c>
      <c r="I632" s="439"/>
      <c r="J632" s="437"/>
      <c r="K632" s="437"/>
      <c r="L632" s="437"/>
      <c r="M632" s="437"/>
      <c r="N632" s="437"/>
      <c r="O632" s="437"/>
      <c r="P632" s="437"/>
      <c r="Q632" s="437"/>
      <c r="R632" s="437"/>
      <c r="S632" s="437"/>
      <c r="T632" s="437"/>
      <c r="U632" s="437"/>
      <c r="V632" s="437"/>
      <c r="W632" s="437"/>
      <c r="X632" s="437"/>
      <c r="Y632" s="437"/>
      <c r="Z632" s="426">
        <f ca="1" t="shared" si="74"/>
        <v>893.263636363633</v>
      </c>
    </row>
    <row r="633" spans="4:26">
      <c r="D633" s="3">
        <v>396</v>
      </c>
      <c r="E633" s="426">
        <f ca="1" t="shared" si="75"/>
        <v>896</v>
      </c>
      <c r="F633" s="436">
        <v>1.07</v>
      </c>
      <c r="G633" s="438"/>
      <c r="H633" s="427">
        <f t="shared" si="76"/>
        <v>277599803504114</v>
      </c>
      <c r="I633" s="439"/>
      <c r="J633" s="437"/>
      <c r="K633" s="437"/>
      <c r="L633" s="437"/>
      <c r="M633" s="437"/>
      <c r="N633" s="437"/>
      <c r="O633" s="437"/>
      <c r="P633" s="437"/>
      <c r="Q633" s="437"/>
      <c r="R633" s="437"/>
      <c r="S633" s="437"/>
      <c r="T633" s="437"/>
      <c r="U633" s="437"/>
      <c r="V633" s="437"/>
      <c r="W633" s="437"/>
      <c r="X633" s="437"/>
      <c r="Y633" s="437"/>
      <c r="Z633" s="426">
        <f ca="1" t="shared" si="74"/>
        <v>896.263636363633</v>
      </c>
    </row>
    <row r="634" spans="4:26">
      <c r="D634" s="3">
        <v>397</v>
      </c>
      <c r="E634" s="426">
        <f ca="1" t="shared" si="75"/>
        <v>899</v>
      </c>
      <c r="F634" s="436">
        <v>1.07</v>
      </c>
      <c r="G634" s="438"/>
      <c r="H634" s="427">
        <f t="shared" si="76"/>
        <v>297031789749402</v>
      </c>
      <c r="I634" s="439"/>
      <c r="J634" s="437"/>
      <c r="K634" s="437"/>
      <c r="L634" s="437"/>
      <c r="M634" s="437"/>
      <c r="N634" s="437"/>
      <c r="O634" s="437"/>
      <c r="P634" s="437"/>
      <c r="Q634" s="437"/>
      <c r="R634" s="437"/>
      <c r="S634" s="437"/>
      <c r="T634" s="437"/>
      <c r="U634" s="437"/>
      <c r="V634" s="437"/>
      <c r="W634" s="437"/>
      <c r="X634" s="437"/>
      <c r="Y634" s="437"/>
      <c r="Z634" s="426">
        <f ca="1" t="shared" si="74"/>
        <v>899.263636363633</v>
      </c>
    </row>
    <row r="635" spans="4:26">
      <c r="D635" s="3">
        <v>398</v>
      </c>
      <c r="E635" s="426">
        <f ca="1" t="shared" si="75"/>
        <v>902</v>
      </c>
      <c r="F635" s="436">
        <v>1.07</v>
      </c>
      <c r="G635" s="438"/>
      <c r="H635" s="427">
        <f t="shared" si="76"/>
        <v>317824015031860</v>
      </c>
      <c r="I635" s="439"/>
      <c r="J635" s="437"/>
      <c r="K635" s="437"/>
      <c r="L635" s="437"/>
      <c r="M635" s="437"/>
      <c r="N635" s="437"/>
      <c r="O635" s="437"/>
      <c r="P635" s="437"/>
      <c r="Q635" s="437"/>
      <c r="R635" s="437"/>
      <c r="S635" s="437"/>
      <c r="T635" s="437"/>
      <c r="U635" s="437"/>
      <c r="V635" s="437"/>
      <c r="W635" s="437"/>
      <c r="X635" s="437"/>
      <c r="Y635" s="437"/>
      <c r="Z635" s="426">
        <f ca="1" t="shared" si="74"/>
        <v>902.263636363633</v>
      </c>
    </row>
    <row r="636" spans="4:26">
      <c r="D636" s="3">
        <v>399</v>
      </c>
      <c r="E636" s="426">
        <f ca="1" t="shared" si="75"/>
        <v>905</v>
      </c>
      <c r="F636" s="436">
        <v>1.07</v>
      </c>
      <c r="G636" s="438"/>
      <c r="H636" s="427">
        <f t="shared" si="76"/>
        <v>340071696084090</v>
      </c>
      <c r="I636" s="439"/>
      <c r="J636" s="437"/>
      <c r="K636" s="437"/>
      <c r="L636" s="437"/>
      <c r="M636" s="437"/>
      <c r="N636" s="437"/>
      <c r="O636" s="437"/>
      <c r="P636" s="437"/>
      <c r="Q636" s="437"/>
      <c r="R636" s="437"/>
      <c r="S636" s="437"/>
      <c r="T636" s="437"/>
      <c r="U636" s="437"/>
      <c r="V636" s="437"/>
      <c r="W636" s="437"/>
      <c r="X636" s="437"/>
      <c r="Y636" s="437"/>
      <c r="Z636" s="426">
        <f ca="1" t="shared" si="74"/>
        <v>905.263636363633</v>
      </c>
    </row>
    <row r="637" spans="4:26">
      <c r="D637" s="3">
        <v>400</v>
      </c>
      <c r="E637" s="426">
        <f ca="1" t="shared" si="75"/>
        <v>908</v>
      </c>
      <c r="F637" s="436">
        <v>1.07</v>
      </c>
      <c r="G637" s="438"/>
      <c r="H637" s="427">
        <f t="shared" si="76"/>
        <v>363876714809976</v>
      </c>
      <c r="I637" s="439"/>
      <c r="J637" s="437"/>
      <c r="K637" s="437"/>
      <c r="L637" s="437"/>
      <c r="M637" s="437"/>
      <c r="N637" s="437"/>
      <c r="O637" s="437"/>
      <c r="P637" s="437"/>
      <c r="Q637" s="437"/>
      <c r="R637" s="437"/>
      <c r="S637" s="437"/>
      <c r="T637" s="437"/>
      <c r="U637" s="437"/>
      <c r="V637" s="437"/>
      <c r="W637" s="437"/>
      <c r="X637" s="437"/>
      <c r="Y637" s="437"/>
      <c r="Z637" s="426">
        <f ca="1" t="shared" si="74"/>
        <v>908.263636363633</v>
      </c>
    </row>
  </sheetData>
  <mergeCells count="3">
    <mergeCell ref="G62:Q62"/>
    <mergeCell ref="R62:X62"/>
    <mergeCell ref="F103:L103"/>
  </mergeCells>
  <pageMargins left="0.75" right="0.75" top="1" bottom="1" header="0.5" footer="0.5"/>
  <headerFooter/>
  <drawing r:id="rId2"/>
  <legacyDrawing r:id="rId3"/>
  <tableParts count="7">
    <tablePart r:id="rId4"/>
    <tablePart r:id="rId5"/>
    <tablePart r:id="rId6"/>
    <tablePart r:id="rId7"/>
    <tablePart r:id="rId8"/>
    <tablePart r:id="rId9"/>
    <tablePart r:id="rId10"/>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0"/>
  </sheetPr>
  <dimension ref="B1:AZ377"/>
  <sheetViews>
    <sheetView showGridLines="0" topLeftCell="A49" workbookViewId="0">
      <selection activeCell="H38" sqref="H38"/>
    </sheetView>
  </sheetViews>
  <sheetFormatPr defaultColWidth="9.14285714285714" defaultRowHeight="16.5"/>
  <cols>
    <col min="1" max="1" width="14.5714285714286" style="80"/>
    <col min="2" max="3" width="3.14285714285714" style="80" customWidth="1"/>
    <col min="4" max="4" width="9.14285714285714" style="80"/>
    <col min="5" max="5" width="13" style="80" customWidth="1"/>
    <col min="6" max="7" width="9.14285714285714" style="80"/>
    <col min="8" max="8" width="9.42857142857143" style="80"/>
    <col min="9" max="16" width="9.14285714285714" style="80"/>
    <col min="17" max="20" width="9.14285714285714" style="80" customWidth="1"/>
    <col min="21" max="16384" width="9.14285714285714" style="80"/>
  </cols>
  <sheetData>
    <row r="1" spans="2:15">
      <c r="D1" s="344"/>
    </row>
    <row r="2" spans="2:15">
      <c r="B2" s="345"/>
      <c r="C2" s="346" t="s">
        <v>410</v>
      </c>
      <c r="D2" s="347"/>
    </row>
    <row r="3" spans="2:15">
      <c r="B3" s="347"/>
      <c r="C3" s="347"/>
      <c r="D3" s="347" t="s">
        <v>411</v>
      </c>
    </row>
    <row r="4" spans="2:15">
      <c r="B4" s="347"/>
      <c r="C4" s="347"/>
      <c r="D4" s="347" t="s">
        <v>412</v>
      </c>
    </row>
    <row r="5" spans="2:15">
      <c r="B5" s="347"/>
      <c r="C5" s="347"/>
      <c r="D5" s="347" t="s">
        <v>413</v>
      </c>
    </row>
    <row r="7" spans="2:15">
      <c r="B7" s="345"/>
      <c r="C7" s="346" t="s">
        <v>311</v>
      </c>
    </row>
    <row r="8" outlineLevel="1"/>
    <row r="9" outlineLevel="1" spans="2:15">
      <c r="D9" s="19"/>
      <c r="E9" s="19" t="s">
        <v>414</v>
      </c>
      <c r="F9" s="19"/>
      <c r="G9" s="19"/>
      <c r="H9" s="19"/>
      <c r="L9" s="80" t="s">
        <v>415</v>
      </c>
    </row>
    <row r="10" outlineLevel="1" spans="2:15">
      <c r="D10" s="348" t="s">
        <v>296</v>
      </c>
      <c r="E10" s="348" t="s">
        <v>416</v>
      </c>
      <c r="F10" s="348" t="s">
        <v>417</v>
      </c>
      <c r="G10" s="348" t="s">
        <v>262</v>
      </c>
      <c r="H10" s="348" t="s">
        <v>239</v>
      </c>
      <c r="K10" s="348" t="s">
        <v>296</v>
      </c>
      <c r="L10" s="348" t="s">
        <v>416</v>
      </c>
      <c r="M10" s="348" t="s">
        <v>417</v>
      </c>
      <c r="N10" s="348" t="s">
        <v>262</v>
      </c>
      <c r="O10" s="348" t="s">
        <v>239</v>
      </c>
    </row>
    <row r="11" outlineLevel="1" spans="2:15">
      <c r="D11" s="19">
        <v>1</v>
      </c>
      <c r="E11" s="19">
        <v>11</v>
      </c>
      <c r="F11" s="19">
        <v>11</v>
      </c>
      <c r="G11" s="19">
        <v>11</v>
      </c>
      <c r="H11" s="19">
        <v>15</v>
      </c>
      <c r="K11" s="19">
        <v>1</v>
      </c>
      <c r="L11" s="19">
        <v>12</v>
      </c>
      <c r="M11" s="19">
        <v>16</v>
      </c>
      <c r="N11" s="19">
        <v>20</v>
      </c>
      <c r="O11" s="19">
        <v>25</v>
      </c>
    </row>
    <row r="12" outlineLevel="1" spans="2:15">
      <c r="D12" s="19">
        <v>2</v>
      </c>
      <c r="E12" s="19">
        <v>16</v>
      </c>
      <c r="F12" s="19">
        <v>17</v>
      </c>
      <c r="G12" s="19">
        <v>17</v>
      </c>
      <c r="H12" s="19">
        <v>24</v>
      </c>
      <c r="K12" s="19">
        <v>2</v>
      </c>
      <c r="L12" s="19">
        <v>18</v>
      </c>
      <c r="M12" s="19">
        <v>24</v>
      </c>
      <c r="N12" s="19">
        <v>30</v>
      </c>
      <c r="O12" s="19">
        <v>37</v>
      </c>
    </row>
    <row r="13" outlineLevel="1" spans="2:15">
      <c r="D13" s="19">
        <v>3</v>
      </c>
      <c r="E13" s="19">
        <v>21</v>
      </c>
      <c r="F13" s="19">
        <v>23</v>
      </c>
      <c r="G13" s="19">
        <v>23</v>
      </c>
      <c r="H13" s="19">
        <v>31</v>
      </c>
      <c r="K13" s="19">
        <v>3</v>
      </c>
      <c r="L13" s="19">
        <v>23</v>
      </c>
      <c r="M13" s="19">
        <v>29</v>
      </c>
      <c r="N13" s="19">
        <v>35</v>
      </c>
      <c r="O13" s="19">
        <v>43</v>
      </c>
    </row>
    <row r="14" outlineLevel="1" spans="2:15">
      <c r="D14" s="19">
        <v>4</v>
      </c>
      <c r="E14" s="19">
        <v>26</v>
      </c>
      <c r="F14" s="19">
        <v>28</v>
      </c>
      <c r="G14" s="19">
        <v>28</v>
      </c>
      <c r="H14" s="19">
        <v>37</v>
      </c>
      <c r="K14" s="19">
        <v>4</v>
      </c>
      <c r="L14" s="19">
        <v>27</v>
      </c>
      <c r="M14" s="19">
        <v>34</v>
      </c>
      <c r="N14" s="19">
        <v>42</v>
      </c>
      <c r="O14" s="19">
        <v>52</v>
      </c>
    </row>
    <row r="15" outlineLevel="1" spans="2:15">
      <c r="D15" s="19">
        <v>5</v>
      </c>
      <c r="E15" s="19">
        <v>30</v>
      </c>
      <c r="F15" s="19">
        <v>32</v>
      </c>
      <c r="G15" s="19">
        <v>32</v>
      </c>
      <c r="H15" s="19">
        <v>42</v>
      </c>
      <c r="K15" s="19">
        <v>5</v>
      </c>
      <c r="L15" s="19">
        <v>30</v>
      </c>
      <c r="M15" s="19">
        <v>38</v>
      </c>
      <c r="N15" s="19">
        <v>46</v>
      </c>
      <c r="O15" s="19">
        <v>57</v>
      </c>
    </row>
    <row r="16" outlineLevel="1" spans="2:15">
      <c r="D16" s="19">
        <v>6</v>
      </c>
      <c r="E16" s="19">
        <v>33</v>
      </c>
      <c r="F16" s="19">
        <v>36</v>
      </c>
      <c r="G16" s="19">
        <v>36</v>
      </c>
      <c r="H16" s="19">
        <v>46</v>
      </c>
      <c r="K16" s="19">
        <v>6</v>
      </c>
      <c r="L16" s="19">
        <v>33</v>
      </c>
      <c r="M16" s="19">
        <v>41</v>
      </c>
      <c r="N16" s="19">
        <v>49</v>
      </c>
      <c r="O16" s="19">
        <v>61</v>
      </c>
    </row>
    <row r="17" outlineLevel="1" spans="4:15">
      <c r="D17" s="19">
        <v>7</v>
      </c>
      <c r="E17" s="19">
        <v>37</v>
      </c>
      <c r="F17" s="19">
        <v>39</v>
      </c>
      <c r="G17" s="19">
        <v>39</v>
      </c>
      <c r="H17" s="19">
        <v>50</v>
      </c>
      <c r="K17" s="19">
        <v>7</v>
      </c>
      <c r="L17" s="19">
        <v>36</v>
      </c>
      <c r="M17" s="19">
        <v>44</v>
      </c>
      <c r="N17" s="19">
        <v>52</v>
      </c>
      <c r="O17" s="19">
        <v>65</v>
      </c>
    </row>
    <row r="18" outlineLevel="1" spans="4:15">
      <c r="D18" s="19">
        <v>8</v>
      </c>
      <c r="E18" s="19">
        <v>39</v>
      </c>
      <c r="F18" s="19">
        <v>42</v>
      </c>
      <c r="G18" s="19">
        <v>42</v>
      </c>
      <c r="H18" s="19">
        <v>53</v>
      </c>
      <c r="K18" s="19">
        <v>8</v>
      </c>
      <c r="L18" s="19">
        <v>39</v>
      </c>
      <c r="M18" s="19">
        <v>47</v>
      </c>
      <c r="N18" s="19">
        <v>55</v>
      </c>
      <c r="O18" s="19">
        <v>68</v>
      </c>
    </row>
    <row r="19" outlineLevel="1" spans="4:15">
      <c r="D19" s="19">
        <v>9</v>
      </c>
      <c r="E19" s="19">
        <v>42</v>
      </c>
      <c r="F19" s="19">
        <v>45</v>
      </c>
      <c r="G19" s="19">
        <v>45</v>
      </c>
      <c r="H19" s="19">
        <v>55</v>
      </c>
      <c r="K19" s="19">
        <v>9</v>
      </c>
      <c r="L19" s="19">
        <v>41</v>
      </c>
      <c r="M19" s="19">
        <v>49</v>
      </c>
      <c r="N19" s="19">
        <v>58</v>
      </c>
      <c r="O19" s="19">
        <v>72</v>
      </c>
    </row>
    <row r="20" outlineLevel="1" spans="4:15">
      <c r="D20" s="19">
        <v>10</v>
      </c>
      <c r="E20" s="19">
        <v>45</v>
      </c>
      <c r="F20" s="19">
        <v>48</v>
      </c>
      <c r="G20" s="19">
        <v>48</v>
      </c>
      <c r="H20" s="19">
        <v>57</v>
      </c>
      <c r="K20" s="19">
        <v>10</v>
      </c>
      <c r="L20" s="19">
        <v>43</v>
      </c>
      <c r="M20" s="19">
        <v>52</v>
      </c>
      <c r="N20" s="19">
        <v>61</v>
      </c>
      <c r="O20" s="19">
        <v>76</v>
      </c>
    </row>
    <row r="21" outlineLevel="1" spans="4:15">
      <c r="D21" s="19">
        <v>11</v>
      </c>
      <c r="E21" s="19">
        <v>47</v>
      </c>
      <c r="F21" s="19">
        <v>50</v>
      </c>
      <c r="G21" s="19">
        <v>50</v>
      </c>
      <c r="H21" s="19">
        <v>58</v>
      </c>
      <c r="K21" s="19">
        <v>11</v>
      </c>
      <c r="L21" s="19">
        <v>45</v>
      </c>
      <c r="M21" s="19">
        <v>54</v>
      </c>
      <c r="N21" s="19">
        <v>64</v>
      </c>
      <c r="O21" s="19">
        <v>80</v>
      </c>
    </row>
    <row r="22" outlineLevel="1" spans="4:15">
      <c r="D22" s="19">
        <v>12</v>
      </c>
      <c r="E22" s="19">
        <v>49</v>
      </c>
      <c r="F22" s="19">
        <v>52</v>
      </c>
      <c r="G22" s="19">
        <v>52</v>
      </c>
      <c r="H22" s="19">
        <v>60</v>
      </c>
      <c r="K22" s="19">
        <v>12</v>
      </c>
      <c r="L22" s="19">
        <v>47</v>
      </c>
      <c r="M22" s="19">
        <v>56</v>
      </c>
      <c r="N22" s="19">
        <v>66</v>
      </c>
      <c r="O22" s="19">
        <v>82</v>
      </c>
    </row>
    <row r="23" outlineLevel="1" spans="4:15">
      <c r="D23" s="19">
        <v>13</v>
      </c>
      <c r="E23" s="19">
        <v>51</v>
      </c>
      <c r="F23" s="19">
        <v>54</v>
      </c>
      <c r="G23" s="19">
        <v>54</v>
      </c>
      <c r="H23" s="19">
        <v>62</v>
      </c>
      <c r="K23" s="19">
        <v>13</v>
      </c>
      <c r="L23" s="19">
        <v>48</v>
      </c>
      <c r="M23" s="19">
        <v>58</v>
      </c>
      <c r="N23" s="19">
        <v>68</v>
      </c>
      <c r="O23" s="19">
        <v>85</v>
      </c>
    </row>
    <row r="24" outlineLevel="1" spans="4:15">
      <c r="D24" s="19">
        <v>14</v>
      </c>
      <c r="E24" s="19">
        <v>53</v>
      </c>
      <c r="F24" s="19">
        <v>55</v>
      </c>
      <c r="G24" s="19">
        <v>55</v>
      </c>
      <c r="H24" s="19">
        <v>63</v>
      </c>
      <c r="K24" s="19">
        <v>14</v>
      </c>
      <c r="L24" s="19">
        <v>50</v>
      </c>
      <c r="M24" s="19">
        <v>60</v>
      </c>
      <c r="N24" s="19">
        <v>70</v>
      </c>
      <c r="O24" s="19">
        <v>87</v>
      </c>
    </row>
    <row r="25" outlineLevel="1" spans="4:15">
      <c r="D25" s="19">
        <v>15</v>
      </c>
      <c r="E25" s="19">
        <v>55</v>
      </c>
      <c r="F25" s="19">
        <v>56</v>
      </c>
      <c r="G25" s="19">
        <v>56</v>
      </c>
      <c r="H25" s="19">
        <v>65</v>
      </c>
      <c r="K25" s="19">
        <v>15</v>
      </c>
      <c r="L25" s="19">
        <v>51</v>
      </c>
      <c r="M25" s="19">
        <v>61</v>
      </c>
      <c r="N25" s="19">
        <v>71</v>
      </c>
      <c r="O25" s="19">
        <v>88</v>
      </c>
    </row>
    <row r="26" outlineLevel="1" spans="4:15">
      <c r="D26" s="19">
        <v>16</v>
      </c>
      <c r="E26" s="19">
        <v>55</v>
      </c>
      <c r="F26" s="19">
        <v>57</v>
      </c>
      <c r="G26" s="19">
        <v>57</v>
      </c>
      <c r="H26" s="19">
        <v>66</v>
      </c>
      <c r="K26" s="19">
        <v>16</v>
      </c>
      <c r="L26" s="19">
        <v>53</v>
      </c>
      <c r="M26" s="19">
        <v>62</v>
      </c>
      <c r="N26" s="19">
        <v>72</v>
      </c>
      <c r="O26" s="19">
        <v>90</v>
      </c>
    </row>
    <row r="27" outlineLevel="1" spans="4:15">
      <c r="D27" s="19">
        <v>17</v>
      </c>
      <c r="E27" s="19">
        <v>56</v>
      </c>
      <c r="F27" s="19">
        <v>58</v>
      </c>
      <c r="G27" s="19">
        <v>58</v>
      </c>
      <c r="H27" s="19">
        <v>68</v>
      </c>
      <c r="K27" s="19">
        <v>17</v>
      </c>
      <c r="L27" s="19">
        <v>54</v>
      </c>
      <c r="M27" s="19">
        <v>63</v>
      </c>
      <c r="N27" s="19">
        <v>73</v>
      </c>
      <c r="O27" s="19">
        <v>91</v>
      </c>
    </row>
    <row r="28" outlineLevel="1" spans="4:15">
      <c r="D28" s="19">
        <v>18</v>
      </c>
      <c r="E28" s="19">
        <v>57</v>
      </c>
      <c r="F28" s="19">
        <v>59</v>
      </c>
      <c r="G28" s="19">
        <v>59</v>
      </c>
      <c r="H28" s="19">
        <v>69</v>
      </c>
      <c r="K28" s="19">
        <v>18</v>
      </c>
      <c r="L28" s="19">
        <v>55</v>
      </c>
      <c r="M28" s="19">
        <v>64</v>
      </c>
      <c r="N28" s="19">
        <v>74</v>
      </c>
      <c r="O28" s="19">
        <v>92</v>
      </c>
    </row>
    <row r="29" outlineLevel="1" spans="4:15">
      <c r="D29" s="19">
        <v>19</v>
      </c>
      <c r="E29" s="19">
        <v>58</v>
      </c>
      <c r="F29" s="19">
        <v>60</v>
      </c>
      <c r="G29" s="19">
        <v>60</v>
      </c>
      <c r="H29" s="19">
        <v>71</v>
      </c>
      <c r="K29" s="19">
        <v>19</v>
      </c>
      <c r="L29" s="19">
        <v>56</v>
      </c>
      <c r="M29" s="19">
        <v>65</v>
      </c>
      <c r="N29" s="19">
        <v>75</v>
      </c>
      <c r="O29" s="19">
        <v>93</v>
      </c>
    </row>
    <row r="30" outlineLevel="1" spans="4:15">
      <c r="D30" s="19">
        <v>20</v>
      </c>
      <c r="E30" s="19">
        <v>59</v>
      </c>
      <c r="F30" s="19">
        <v>61</v>
      </c>
      <c r="G30" s="19">
        <v>61</v>
      </c>
      <c r="H30" s="19">
        <v>72</v>
      </c>
      <c r="K30" s="19">
        <v>20</v>
      </c>
      <c r="L30" s="19">
        <v>57</v>
      </c>
      <c r="M30" s="19">
        <v>66</v>
      </c>
      <c r="N30" s="19">
        <v>76</v>
      </c>
      <c r="O30" s="19">
        <v>95</v>
      </c>
    </row>
    <row r="31" outlineLevel="1" spans="4:15">
      <c r="D31" s="19">
        <v>21</v>
      </c>
      <c r="E31" s="19">
        <v>60</v>
      </c>
      <c r="F31" s="19">
        <v>62</v>
      </c>
      <c r="G31" s="19">
        <v>62</v>
      </c>
      <c r="H31" s="19">
        <v>73</v>
      </c>
      <c r="K31" s="19">
        <v>21</v>
      </c>
      <c r="L31" s="19">
        <v>58</v>
      </c>
      <c r="M31" s="19">
        <v>67</v>
      </c>
      <c r="N31" s="19">
        <v>77</v>
      </c>
      <c r="O31" s="19">
        <v>96</v>
      </c>
    </row>
    <row r="32" outlineLevel="1" spans="4:15">
      <c r="D32" s="19">
        <v>22</v>
      </c>
      <c r="E32" s="19">
        <v>61</v>
      </c>
      <c r="F32" s="19">
        <v>63</v>
      </c>
      <c r="G32" s="19">
        <v>63</v>
      </c>
      <c r="H32" s="19">
        <v>74</v>
      </c>
      <c r="K32" s="19">
        <v>22</v>
      </c>
      <c r="L32" s="19">
        <v>59</v>
      </c>
      <c r="M32" s="19">
        <v>68</v>
      </c>
      <c r="N32" s="19">
        <v>78</v>
      </c>
      <c r="O32" s="19">
        <v>97</v>
      </c>
    </row>
    <row r="33" outlineLevel="1" spans="4:15">
      <c r="D33" s="19">
        <v>23</v>
      </c>
      <c r="E33" s="19">
        <v>61</v>
      </c>
      <c r="F33" s="19">
        <v>64</v>
      </c>
      <c r="G33" s="19">
        <v>64</v>
      </c>
      <c r="H33" s="19">
        <v>75</v>
      </c>
      <c r="K33" s="19">
        <v>23</v>
      </c>
      <c r="L33" s="19">
        <v>60</v>
      </c>
      <c r="M33" s="19">
        <v>69</v>
      </c>
      <c r="N33" s="19">
        <v>79</v>
      </c>
      <c r="O33" s="19">
        <v>98</v>
      </c>
    </row>
    <row r="34" outlineLevel="1" spans="4:15">
      <c r="D34" s="19">
        <v>24</v>
      </c>
      <c r="E34" s="19">
        <v>62</v>
      </c>
      <c r="F34" s="19">
        <v>65</v>
      </c>
      <c r="G34" s="19">
        <v>65</v>
      </c>
      <c r="H34" s="19">
        <v>76</v>
      </c>
      <c r="K34" s="19">
        <v>24</v>
      </c>
      <c r="L34" s="19">
        <v>61</v>
      </c>
      <c r="M34" s="19">
        <v>70</v>
      </c>
      <c r="N34" s="19">
        <v>80</v>
      </c>
      <c r="O34" s="19">
        <v>100</v>
      </c>
    </row>
    <row r="35" outlineLevel="1" spans="4:15">
      <c r="D35" s="19">
        <v>25</v>
      </c>
      <c r="E35" s="19">
        <v>63</v>
      </c>
      <c r="F35" s="19">
        <v>66</v>
      </c>
      <c r="G35" s="19">
        <v>66</v>
      </c>
      <c r="H35" s="19">
        <v>77</v>
      </c>
      <c r="K35" s="19">
        <v>25</v>
      </c>
      <c r="L35" s="19">
        <v>62</v>
      </c>
      <c r="M35" s="19">
        <v>71</v>
      </c>
      <c r="N35" s="19">
        <v>81</v>
      </c>
      <c r="O35" s="19">
        <v>101</v>
      </c>
    </row>
    <row r="36" outlineLevel="1" spans="4:15">
      <c r="D36" s="19">
        <v>26</v>
      </c>
      <c r="E36" s="19">
        <v>64</v>
      </c>
      <c r="F36" s="19">
        <v>67</v>
      </c>
      <c r="G36" s="19">
        <v>67</v>
      </c>
      <c r="H36" s="19">
        <v>78</v>
      </c>
      <c r="K36" s="19">
        <v>26</v>
      </c>
      <c r="L36" s="19">
        <v>63</v>
      </c>
      <c r="M36" s="19">
        <v>72</v>
      </c>
      <c r="N36" s="19">
        <v>82</v>
      </c>
      <c r="O36" s="19">
        <v>102</v>
      </c>
    </row>
    <row r="37" outlineLevel="1" spans="4:15">
      <c r="D37" s="19">
        <v>27</v>
      </c>
      <c r="E37" s="19">
        <v>65</v>
      </c>
      <c r="F37" s="19">
        <v>68</v>
      </c>
      <c r="G37" s="19">
        <v>68</v>
      </c>
      <c r="H37" s="19">
        <v>79</v>
      </c>
      <c r="K37" s="19">
        <v>27</v>
      </c>
      <c r="L37" s="19">
        <v>64</v>
      </c>
      <c r="M37" s="19">
        <v>73</v>
      </c>
      <c r="N37" s="19">
        <v>83</v>
      </c>
      <c r="O37" s="19">
        <v>103</v>
      </c>
    </row>
    <row r="38" outlineLevel="1" spans="4:15">
      <c r="D38" s="19">
        <v>28</v>
      </c>
      <c r="E38" s="19">
        <v>66</v>
      </c>
      <c r="F38" s="19">
        <v>69</v>
      </c>
      <c r="G38" s="19">
        <v>69</v>
      </c>
      <c r="H38" s="19">
        <v>80</v>
      </c>
      <c r="K38" s="19">
        <v>28</v>
      </c>
      <c r="L38" s="19">
        <v>65</v>
      </c>
      <c r="M38" s="19">
        <v>74</v>
      </c>
      <c r="N38" s="19">
        <v>84</v>
      </c>
      <c r="O38" s="19">
        <v>105</v>
      </c>
    </row>
    <row r="39" outlineLevel="1" spans="4:15">
      <c r="D39" s="19">
        <v>29</v>
      </c>
      <c r="E39" s="19">
        <v>67</v>
      </c>
      <c r="F39" s="19">
        <v>70</v>
      </c>
      <c r="G39" s="19">
        <v>70</v>
      </c>
      <c r="H39" s="19">
        <v>81</v>
      </c>
      <c r="K39" s="19">
        <v>29</v>
      </c>
      <c r="L39" s="19">
        <v>66</v>
      </c>
      <c r="M39" s="19">
        <v>75</v>
      </c>
      <c r="N39" s="19">
        <v>85</v>
      </c>
      <c r="O39" s="19">
        <v>106</v>
      </c>
    </row>
    <row r="40" outlineLevel="1" spans="4:15">
      <c r="D40" s="19">
        <v>30</v>
      </c>
      <c r="E40" s="19">
        <v>68</v>
      </c>
      <c r="F40" s="19">
        <v>71</v>
      </c>
      <c r="G40" s="19">
        <v>71</v>
      </c>
      <c r="H40" s="19">
        <v>82</v>
      </c>
      <c r="K40" s="19">
        <v>30</v>
      </c>
      <c r="L40" s="19">
        <v>67</v>
      </c>
      <c r="M40" s="19">
        <v>76</v>
      </c>
      <c r="N40" s="19">
        <v>86</v>
      </c>
      <c r="O40" s="19">
        <v>107</v>
      </c>
    </row>
    <row r="41" outlineLevel="1" spans="4:15">
      <c r="D41" s="19">
        <v>31</v>
      </c>
      <c r="E41" s="19">
        <v>68</v>
      </c>
      <c r="F41" s="19">
        <v>72</v>
      </c>
      <c r="G41" s="19">
        <v>72</v>
      </c>
      <c r="H41" s="19">
        <v>83</v>
      </c>
      <c r="K41" s="19">
        <v>31</v>
      </c>
      <c r="L41" s="19">
        <v>68</v>
      </c>
      <c r="M41" s="19">
        <v>77</v>
      </c>
      <c r="N41" s="19">
        <v>87</v>
      </c>
      <c r="O41" s="19">
        <v>108</v>
      </c>
    </row>
    <row r="42" outlineLevel="1" spans="4:15">
      <c r="D42" s="19">
        <v>32</v>
      </c>
      <c r="E42" s="19">
        <v>69</v>
      </c>
      <c r="F42" s="19">
        <v>73</v>
      </c>
      <c r="G42" s="19">
        <v>73</v>
      </c>
      <c r="H42" s="19">
        <v>84</v>
      </c>
      <c r="K42" s="19">
        <v>32</v>
      </c>
      <c r="L42" s="19">
        <v>69</v>
      </c>
      <c r="M42" s="19">
        <v>78</v>
      </c>
      <c r="N42" s="19">
        <v>88</v>
      </c>
      <c r="O42" s="19">
        <v>110</v>
      </c>
    </row>
    <row r="43" outlineLevel="1" spans="4:15">
      <c r="D43" s="19">
        <v>33</v>
      </c>
      <c r="E43" s="19">
        <v>70</v>
      </c>
      <c r="F43" s="19">
        <v>73</v>
      </c>
      <c r="G43" s="19">
        <v>73</v>
      </c>
      <c r="H43" s="19">
        <v>85</v>
      </c>
      <c r="K43" s="19">
        <v>33</v>
      </c>
      <c r="L43" s="19">
        <v>70</v>
      </c>
      <c r="M43" s="19">
        <v>79</v>
      </c>
      <c r="N43" s="19">
        <v>89</v>
      </c>
      <c r="O43" s="19">
        <v>111</v>
      </c>
    </row>
    <row r="44" outlineLevel="1" spans="4:15">
      <c r="D44" s="19">
        <v>34</v>
      </c>
      <c r="E44" s="19">
        <v>71</v>
      </c>
      <c r="F44" s="19">
        <v>74</v>
      </c>
      <c r="G44" s="19">
        <v>74</v>
      </c>
      <c r="H44" s="19">
        <v>86</v>
      </c>
      <c r="K44" s="19">
        <v>34</v>
      </c>
      <c r="L44" s="19">
        <v>71</v>
      </c>
      <c r="M44" s="19">
        <v>80</v>
      </c>
      <c r="N44" s="19">
        <v>90</v>
      </c>
      <c r="O44" s="19">
        <v>112</v>
      </c>
    </row>
    <row r="45" outlineLevel="1" spans="4:15">
      <c r="D45" s="19">
        <v>35</v>
      </c>
      <c r="E45" s="19">
        <v>72</v>
      </c>
      <c r="F45" s="19">
        <v>75</v>
      </c>
      <c r="G45" s="19">
        <v>75</v>
      </c>
      <c r="H45" s="19">
        <v>88</v>
      </c>
      <c r="K45" s="19">
        <v>35</v>
      </c>
      <c r="L45" s="19">
        <v>72</v>
      </c>
      <c r="M45" s="19">
        <v>81</v>
      </c>
      <c r="N45" s="19">
        <v>91</v>
      </c>
      <c r="O45" s="19">
        <v>113</v>
      </c>
    </row>
    <row r="46" outlineLevel="1" spans="4:15">
      <c r="D46" s="19">
        <v>36</v>
      </c>
      <c r="E46" s="19">
        <v>72</v>
      </c>
      <c r="F46" s="19">
        <v>75</v>
      </c>
      <c r="G46" s="19">
        <v>75</v>
      </c>
      <c r="H46" s="19">
        <v>89</v>
      </c>
      <c r="K46" s="19">
        <v>36</v>
      </c>
      <c r="L46" s="19">
        <v>73</v>
      </c>
      <c r="M46" s="19">
        <v>82</v>
      </c>
      <c r="N46" s="19">
        <v>92</v>
      </c>
      <c r="O46" s="19">
        <v>115</v>
      </c>
    </row>
    <row r="47" outlineLevel="1" spans="4:15">
      <c r="D47" s="19">
        <v>37</v>
      </c>
      <c r="E47" s="19">
        <v>73</v>
      </c>
      <c r="F47" s="19">
        <v>76</v>
      </c>
      <c r="G47" s="19">
        <v>76</v>
      </c>
      <c r="H47" s="19">
        <v>90</v>
      </c>
      <c r="K47" s="19">
        <v>37</v>
      </c>
      <c r="L47" s="19">
        <v>74</v>
      </c>
      <c r="M47" s="19">
        <v>83</v>
      </c>
      <c r="N47" s="19">
        <v>93</v>
      </c>
      <c r="O47" s="19">
        <v>116</v>
      </c>
    </row>
    <row r="48" outlineLevel="1" spans="4:15">
      <c r="D48" s="19">
        <v>38</v>
      </c>
      <c r="E48" s="19">
        <v>74</v>
      </c>
      <c r="F48" s="19">
        <v>77</v>
      </c>
      <c r="G48" s="19">
        <v>77</v>
      </c>
      <c r="H48" s="19">
        <v>91</v>
      </c>
      <c r="K48" s="19">
        <v>38</v>
      </c>
      <c r="L48" s="19">
        <v>75</v>
      </c>
      <c r="M48" s="19">
        <v>84</v>
      </c>
      <c r="N48" s="19">
        <v>94</v>
      </c>
      <c r="O48" s="19">
        <v>117</v>
      </c>
    </row>
    <row r="49" outlineLevel="1" spans="4:15">
      <c r="D49" s="19">
        <v>39</v>
      </c>
      <c r="E49" s="19">
        <v>74</v>
      </c>
      <c r="F49" s="19">
        <v>77</v>
      </c>
      <c r="G49" s="19">
        <v>77</v>
      </c>
      <c r="H49" s="19">
        <v>92</v>
      </c>
      <c r="K49" s="19">
        <v>39</v>
      </c>
      <c r="L49" s="19">
        <v>76</v>
      </c>
      <c r="M49" s="19">
        <v>85</v>
      </c>
      <c r="N49" s="19">
        <v>95</v>
      </c>
      <c r="O49" s="19">
        <v>118</v>
      </c>
    </row>
    <row r="50" outlineLevel="1" spans="4:15">
      <c r="D50" s="19">
        <v>40</v>
      </c>
      <c r="E50" s="19">
        <v>75</v>
      </c>
      <c r="F50" s="19">
        <v>78</v>
      </c>
      <c r="G50" s="19">
        <v>78</v>
      </c>
      <c r="H50" s="19">
        <v>93</v>
      </c>
      <c r="K50" s="19">
        <v>40</v>
      </c>
      <c r="L50" s="19">
        <v>77</v>
      </c>
      <c r="M50" s="19">
        <v>86</v>
      </c>
      <c r="N50" s="19">
        <v>96</v>
      </c>
      <c r="O50" s="19">
        <v>120</v>
      </c>
    </row>
    <row r="51" outlineLevel="1" spans="4:15">
      <c r="D51" s="19">
        <v>41</v>
      </c>
      <c r="E51" s="19">
        <v>75</v>
      </c>
      <c r="F51" s="19">
        <v>79</v>
      </c>
      <c r="G51" s="19">
        <v>79</v>
      </c>
      <c r="H51" s="19">
        <v>94</v>
      </c>
      <c r="K51" s="19">
        <v>41</v>
      </c>
      <c r="L51" s="19">
        <v>77</v>
      </c>
      <c r="M51" s="19">
        <v>87</v>
      </c>
      <c r="N51" s="19">
        <v>97</v>
      </c>
      <c r="O51" s="19">
        <v>121</v>
      </c>
    </row>
    <row r="52" outlineLevel="1" spans="4:15">
      <c r="D52" s="19">
        <v>42</v>
      </c>
      <c r="E52" s="19">
        <v>76</v>
      </c>
      <c r="F52" s="19">
        <v>79</v>
      </c>
      <c r="G52" s="19">
        <v>79</v>
      </c>
      <c r="H52" s="19">
        <v>95</v>
      </c>
      <c r="K52" s="19">
        <v>42</v>
      </c>
      <c r="L52" s="19">
        <v>78</v>
      </c>
      <c r="M52" s="19">
        <v>88</v>
      </c>
      <c r="N52" s="19">
        <v>98</v>
      </c>
      <c r="O52" s="19">
        <v>122</v>
      </c>
    </row>
    <row r="53" outlineLevel="1" spans="4:15">
      <c r="D53" s="19">
        <v>43</v>
      </c>
      <c r="E53" s="19">
        <v>76</v>
      </c>
      <c r="F53" s="19">
        <v>80</v>
      </c>
      <c r="G53" s="19">
        <v>80</v>
      </c>
      <c r="H53" s="19">
        <v>96</v>
      </c>
      <c r="K53" s="19">
        <v>43</v>
      </c>
      <c r="L53" s="19">
        <v>78</v>
      </c>
      <c r="M53" s="19">
        <v>88</v>
      </c>
      <c r="N53" s="19">
        <v>99</v>
      </c>
      <c r="O53" s="19">
        <v>123</v>
      </c>
    </row>
    <row r="54" outlineLevel="1" spans="4:15">
      <c r="D54" s="19">
        <v>44</v>
      </c>
      <c r="E54" s="19">
        <v>77</v>
      </c>
      <c r="F54" s="19">
        <v>81</v>
      </c>
      <c r="G54" s="19">
        <v>81</v>
      </c>
      <c r="H54" s="19">
        <v>97</v>
      </c>
      <c r="K54" s="19">
        <v>44</v>
      </c>
      <c r="L54" s="19">
        <v>79</v>
      </c>
      <c r="M54" s="19">
        <v>89</v>
      </c>
      <c r="N54" s="19">
        <v>100</v>
      </c>
      <c r="O54" s="19">
        <v>125</v>
      </c>
    </row>
    <row r="55" outlineLevel="1" spans="4:15">
      <c r="D55" s="19">
        <v>45</v>
      </c>
      <c r="E55" s="19">
        <v>78</v>
      </c>
      <c r="F55" s="19">
        <v>81</v>
      </c>
      <c r="G55" s="19">
        <v>81</v>
      </c>
      <c r="H55" s="19">
        <v>98</v>
      </c>
      <c r="K55" s="19">
        <v>45</v>
      </c>
      <c r="L55" s="19">
        <v>79</v>
      </c>
      <c r="M55" s="19">
        <v>90</v>
      </c>
      <c r="N55" s="19">
        <v>101</v>
      </c>
      <c r="O55" s="19">
        <v>126</v>
      </c>
    </row>
    <row r="56" outlineLevel="1" spans="4:15">
      <c r="D56" s="19">
        <v>46</v>
      </c>
      <c r="E56" s="19">
        <v>78</v>
      </c>
      <c r="F56" s="19">
        <v>82</v>
      </c>
      <c r="G56" s="19">
        <v>82</v>
      </c>
      <c r="H56" s="19">
        <v>99</v>
      </c>
      <c r="K56" s="19">
        <v>46</v>
      </c>
      <c r="L56" s="19">
        <v>80</v>
      </c>
      <c r="M56" s="19">
        <v>91</v>
      </c>
      <c r="N56" s="19">
        <v>102</v>
      </c>
      <c r="O56" s="19">
        <v>127</v>
      </c>
    </row>
    <row r="57" outlineLevel="1" spans="4:15">
      <c r="D57" s="19">
        <v>47</v>
      </c>
      <c r="E57" s="19">
        <v>79</v>
      </c>
      <c r="F57" s="19">
        <v>83</v>
      </c>
      <c r="G57" s="19">
        <v>83</v>
      </c>
      <c r="H57" s="19">
        <v>100</v>
      </c>
      <c r="K57" s="19">
        <v>47</v>
      </c>
      <c r="L57" s="19">
        <v>80</v>
      </c>
      <c r="M57" s="19">
        <v>91</v>
      </c>
      <c r="N57" s="19">
        <v>103</v>
      </c>
      <c r="O57" s="19">
        <v>128</v>
      </c>
    </row>
    <row r="58" outlineLevel="1" spans="4:15">
      <c r="D58" s="19">
        <v>48</v>
      </c>
      <c r="E58" s="19">
        <v>79</v>
      </c>
      <c r="F58" s="19">
        <v>83</v>
      </c>
      <c r="G58" s="19">
        <v>83</v>
      </c>
      <c r="H58" s="19">
        <v>101</v>
      </c>
      <c r="K58" s="19">
        <v>48</v>
      </c>
      <c r="L58" s="19">
        <v>81</v>
      </c>
      <c r="M58" s="19">
        <v>92</v>
      </c>
      <c r="N58" s="19">
        <v>104</v>
      </c>
      <c r="O58" s="19">
        <v>130</v>
      </c>
    </row>
    <row r="59" outlineLevel="1" spans="4:15">
      <c r="D59" s="19">
        <v>49</v>
      </c>
      <c r="E59" s="19">
        <v>80</v>
      </c>
      <c r="F59" s="19">
        <v>84</v>
      </c>
      <c r="G59" s="19">
        <v>84</v>
      </c>
      <c r="H59" s="19">
        <v>101</v>
      </c>
      <c r="K59" s="19">
        <v>49</v>
      </c>
      <c r="L59" s="19">
        <v>81</v>
      </c>
      <c r="M59" s="19">
        <v>93</v>
      </c>
      <c r="N59" s="19">
        <v>105</v>
      </c>
      <c r="O59" s="19">
        <v>131</v>
      </c>
    </row>
    <row r="60" outlineLevel="1" spans="4:15">
      <c r="D60" s="19">
        <v>50</v>
      </c>
      <c r="E60" s="19">
        <v>80</v>
      </c>
      <c r="F60" s="19">
        <v>85</v>
      </c>
      <c r="G60" s="19">
        <v>85</v>
      </c>
      <c r="H60" s="19">
        <v>102</v>
      </c>
      <c r="K60" s="19">
        <v>50</v>
      </c>
      <c r="L60" s="19">
        <v>82</v>
      </c>
      <c r="M60" s="19">
        <v>94</v>
      </c>
      <c r="N60" s="19">
        <v>106</v>
      </c>
      <c r="O60" s="19">
        <v>132</v>
      </c>
    </row>
    <row r="61" outlineLevel="1" spans="4:15">
      <c r="D61" s="19">
        <v>51</v>
      </c>
      <c r="E61" s="19">
        <v>81</v>
      </c>
      <c r="F61" s="19">
        <v>85</v>
      </c>
      <c r="G61" s="19">
        <v>85</v>
      </c>
      <c r="H61" s="19">
        <v>103</v>
      </c>
      <c r="K61" s="19">
        <v>51</v>
      </c>
      <c r="L61" s="19">
        <v>82</v>
      </c>
      <c r="M61" s="19">
        <v>94</v>
      </c>
      <c r="N61" s="19">
        <v>107</v>
      </c>
      <c r="O61" s="19">
        <v>133</v>
      </c>
    </row>
    <row r="62" outlineLevel="1" spans="4:15">
      <c r="D62" s="19">
        <v>52</v>
      </c>
      <c r="E62" s="19">
        <v>82</v>
      </c>
      <c r="F62" s="19">
        <v>86</v>
      </c>
      <c r="G62" s="19">
        <v>86</v>
      </c>
      <c r="H62" s="19">
        <v>104</v>
      </c>
      <c r="K62" s="19">
        <v>52</v>
      </c>
      <c r="L62" s="19">
        <v>83</v>
      </c>
      <c r="M62" s="19">
        <v>95</v>
      </c>
      <c r="N62" s="19">
        <v>108</v>
      </c>
      <c r="O62" s="19">
        <v>135</v>
      </c>
    </row>
    <row r="63" outlineLevel="1" spans="4:15">
      <c r="D63" s="19">
        <v>53</v>
      </c>
      <c r="E63" s="19">
        <v>82</v>
      </c>
      <c r="F63" s="19">
        <v>87</v>
      </c>
      <c r="G63" s="19">
        <v>87</v>
      </c>
      <c r="H63" s="19">
        <v>104</v>
      </c>
      <c r="K63" s="19">
        <v>53</v>
      </c>
      <c r="L63" s="19">
        <v>83</v>
      </c>
      <c r="M63" s="19">
        <v>96</v>
      </c>
      <c r="N63" s="19">
        <v>109</v>
      </c>
      <c r="O63" s="19">
        <v>136</v>
      </c>
    </row>
    <row r="64" outlineLevel="1" spans="4:15">
      <c r="D64" s="19">
        <v>54</v>
      </c>
      <c r="E64" s="19">
        <v>83</v>
      </c>
      <c r="F64" s="19">
        <v>87</v>
      </c>
      <c r="G64" s="19">
        <v>87</v>
      </c>
      <c r="H64" s="19">
        <v>105</v>
      </c>
      <c r="K64" s="19">
        <v>54</v>
      </c>
      <c r="L64" s="19">
        <v>84</v>
      </c>
      <c r="M64" s="19">
        <v>97</v>
      </c>
      <c r="N64" s="19">
        <v>110</v>
      </c>
      <c r="O64" s="19">
        <v>137</v>
      </c>
    </row>
    <row r="65" outlineLevel="1" spans="2:36">
      <c r="D65" s="19">
        <v>55</v>
      </c>
      <c r="E65" s="19">
        <v>83</v>
      </c>
      <c r="F65" s="19">
        <v>88</v>
      </c>
      <c r="G65" s="19">
        <v>88</v>
      </c>
      <c r="H65" s="19">
        <v>106</v>
      </c>
      <c r="K65" s="19">
        <v>55</v>
      </c>
      <c r="L65" s="19">
        <v>84</v>
      </c>
      <c r="M65" s="19">
        <v>97</v>
      </c>
      <c r="N65" s="19">
        <v>111</v>
      </c>
      <c r="O65" s="19">
        <v>138</v>
      </c>
    </row>
    <row r="66" outlineLevel="1" spans="2:36">
      <c r="D66" s="19">
        <v>56</v>
      </c>
      <c r="E66" s="19">
        <v>84</v>
      </c>
      <c r="F66" s="19">
        <v>89</v>
      </c>
      <c r="G66" s="19">
        <v>89</v>
      </c>
      <c r="H66" s="19">
        <v>107</v>
      </c>
      <c r="K66" s="19">
        <v>56</v>
      </c>
      <c r="L66" s="19">
        <v>85</v>
      </c>
      <c r="M66" s="19">
        <v>98</v>
      </c>
      <c r="N66" s="19">
        <v>112</v>
      </c>
      <c r="O66" s="19">
        <v>140</v>
      </c>
    </row>
    <row r="67" outlineLevel="1" spans="2:36">
      <c r="D67" s="19">
        <v>57</v>
      </c>
      <c r="E67" s="19">
        <v>85</v>
      </c>
      <c r="F67" s="19">
        <v>89</v>
      </c>
      <c r="G67" s="19">
        <v>89</v>
      </c>
      <c r="H67" s="19">
        <v>107</v>
      </c>
      <c r="K67" s="19">
        <v>57</v>
      </c>
      <c r="L67" s="19">
        <v>85</v>
      </c>
      <c r="M67" s="19">
        <v>99</v>
      </c>
      <c r="N67" s="19">
        <v>113</v>
      </c>
      <c r="O67" s="19">
        <v>141</v>
      </c>
    </row>
    <row r="68" outlineLevel="1" spans="2:36">
      <c r="D68" s="19">
        <v>58</v>
      </c>
      <c r="E68" s="19">
        <v>85</v>
      </c>
      <c r="F68" s="19">
        <v>90</v>
      </c>
      <c r="G68" s="19">
        <v>90</v>
      </c>
      <c r="H68" s="19">
        <v>108</v>
      </c>
      <c r="K68" s="19">
        <v>58</v>
      </c>
      <c r="L68" s="19">
        <v>86</v>
      </c>
      <c r="M68" s="19">
        <v>100</v>
      </c>
      <c r="N68" s="19">
        <v>114</v>
      </c>
      <c r="O68" s="19">
        <v>142</v>
      </c>
    </row>
    <row r="69" outlineLevel="1" spans="2:36">
      <c r="D69" s="19">
        <v>59</v>
      </c>
      <c r="E69" s="19">
        <v>86</v>
      </c>
      <c r="F69" s="19">
        <v>91</v>
      </c>
      <c r="G69" s="19">
        <v>91</v>
      </c>
      <c r="H69" s="19">
        <v>109</v>
      </c>
      <c r="K69" s="19">
        <v>59</v>
      </c>
      <c r="L69" s="19">
        <v>86</v>
      </c>
      <c r="M69" s="19">
        <v>100</v>
      </c>
      <c r="N69" s="19">
        <v>115</v>
      </c>
      <c r="O69" s="19">
        <v>143</v>
      </c>
    </row>
    <row r="70" outlineLevel="1" spans="2:36">
      <c r="D70" s="19">
        <v>60</v>
      </c>
      <c r="E70" s="19">
        <v>86</v>
      </c>
      <c r="F70" s="19">
        <v>91</v>
      </c>
      <c r="G70" s="19">
        <v>91</v>
      </c>
      <c r="H70" s="19">
        <v>110</v>
      </c>
      <c r="K70" s="19">
        <v>60</v>
      </c>
      <c r="L70" s="19">
        <v>87</v>
      </c>
      <c r="M70" s="19">
        <v>101</v>
      </c>
      <c r="N70" s="19">
        <v>116</v>
      </c>
      <c r="O70" s="19">
        <v>145</v>
      </c>
    </row>
    <row r="71" outlineLevel="1" spans="2:36">
      <c r="D71" s="19"/>
      <c r="E71" s="19"/>
      <c r="F71" s="19"/>
      <c r="G71" s="19"/>
      <c r="H71" s="19"/>
    </row>
    <row r="72" spans="2:36">
      <c r="D72" s="19"/>
      <c r="E72" s="19"/>
      <c r="F72" s="19"/>
      <c r="G72" s="19"/>
      <c r="H72" s="19"/>
    </row>
    <row r="73" spans="2:36">
      <c r="B73" s="345"/>
      <c r="C73" s="346" t="s">
        <v>418</v>
      </c>
    </row>
    <row r="74" outlineLevel="1"/>
    <row r="75" outlineLevel="1" spans="2:36">
      <c r="D75" s="19"/>
      <c r="E75" s="19" t="s">
        <v>419</v>
      </c>
      <c r="F75" s="19"/>
      <c r="G75" s="19"/>
      <c r="H75" s="19"/>
      <c r="J75" s="80" t="s">
        <v>410</v>
      </c>
      <c r="K75" s="19" t="s">
        <v>420</v>
      </c>
      <c r="L75" s="19"/>
      <c r="M75" s="19"/>
      <c r="N75" s="19"/>
      <c r="Q75" s="19" t="s">
        <v>312</v>
      </c>
      <c r="X75" s="80" t="s">
        <v>314</v>
      </c>
    </row>
    <row r="76" outlineLevel="1" spans="2:36">
      <c r="D76" s="348" t="s">
        <v>296</v>
      </c>
      <c r="E76" s="348" t="s">
        <v>416</v>
      </c>
      <c r="F76" s="348" t="s">
        <v>417</v>
      </c>
      <c r="G76" s="348" t="s">
        <v>262</v>
      </c>
      <c r="H76" s="348" t="s">
        <v>239</v>
      </c>
      <c r="J76" s="348" t="s">
        <v>296</v>
      </c>
      <c r="K76" s="348" t="s">
        <v>416</v>
      </c>
      <c r="L76" s="348" t="s">
        <v>417</v>
      </c>
      <c r="M76" s="348" t="s">
        <v>262</v>
      </c>
      <c r="N76" s="348" t="s">
        <v>239</v>
      </c>
      <c r="P76" s="348" t="s">
        <v>296</v>
      </c>
      <c r="Q76" s="348" t="s">
        <v>416</v>
      </c>
      <c r="R76" s="348" t="s">
        <v>417</v>
      </c>
      <c r="S76" s="348" t="s">
        <v>262</v>
      </c>
      <c r="T76" s="348" t="s">
        <v>239</v>
      </c>
      <c r="W76" s="348" t="s">
        <v>296</v>
      </c>
      <c r="X76" s="348" t="s">
        <v>416</v>
      </c>
      <c r="Y76" s="348" t="s">
        <v>417</v>
      </c>
      <c r="Z76" s="348" t="s">
        <v>262</v>
      </c>
      <c r="AA76" s="348" t="s">
        <v>239</v>
      </c>
      <c r="AC76" s="348" t="s">
        <v>296</v>
      </c>
      <c r="AD76" s="348" t="s">
        <v>416</v>
      </c>
      <c r="AE76" s="348" t="s">
        <v>417</v>
      </c>
      <c r="AF76" s="348" t="s">
        <v>262</v>
      </c>
      <c r="AG76" s="348" t="s">
        <v>239</v>
      </c>
    </row>
    <row r="77" outlineLevel="1" spans="2:36">
      <c r="D77" s="19">
        <v>1</v>
      </c>
      <c r="E77" s="86" cm="1">
        <f ca="1" t="array" ref="E77">_xlfn.XLOOKUP(K77,[3]装备属性!$D$571:$D$870,[3]装备属性!$I$571:$I$870)*6+_xlfn.XLOOKUP(Q77&amp;X77,[3]装备属性!$E$62:$E$277&amp;[3]装备属性!$G$62:$G$277,[3]装备属性!$I$62:$I$277)*6+IFERROR(_xlfn.XLOOKUP(Q77&amp;X77,[3]装备属性!$D$309:$D$557&amp;[3]装备属性!$F$309:$F$557,[3]装备属性!$H$309:$H$557)*AD77*6,0)+VLOOKUP(E210,$V$209:$X$216,3,0)*Q210+100</f>
        <v>598</v>
      </c>
      <c r="F77" s="86" cm="1">
        <f ca="1" t="array" ref="F77">_xlfn.XLOOKUP(L77,[3]装备属性!$D$571:$D$870,[3]装备属性!$I$571:$I$870)*6+_xlfn.XLOOKUP(R77&amp;Y77,[3]装备属性!$E$62:$E$277&amp;[3]装备属性!$G$62:$G$277,[3]装备属性!$I$62:$I$277)*6+IFERROR(_xlfn.XLOOKUP(R77&amp;Y77,[3]装备属性!$D$309:$D$557&amp;[3]装备属性!$F$309:$F$557,[3]装备属性!$H$309:$H$557)*AE77*6,0)+VLOOKUP(F210,$V$209:$X$216,3,0)*R210+100</f>
        <v>674</v>
      </c>
      <c r="G77" s="86" cm="1">
        <f ca="1" t="array" ref="G77">_xlfn.XLOOKUP(M77,[3]装备属性!$D$571:$D$870,[3]装备属性!$I$571:$I$870)*6+_xlfn.XLOOKUP(S77&amp;Z77,[3]装备属性!$E$62:$E$277&amp;[3]装备属性!$G$62:$G$277,[3]装备属性!$I$62:$I$277)*6+IFERROR(_xlfn.XLOOKUP(S77&amp;Z77,[3]装备属性!$D$309:$D$557&amp;[3]装备属性!$F$309:$F$557,[3]装备属性!$H$309:$H$557)*AF77*6,0)+VLOOKUP(G210,$V$209:$X$216,3,0)*S210+100</f>
        <v>770</v>
      </c>
      <c r="H77" s="86" cm="1">
        <f ca="1" t="array" ref="H77">_xlfn.XLOOKUP(N77,[3]装备属性!$D$571:$D$870,[3]装备属性!$I$571:$I$870)*6+_xlfn.XLOOKUP(T77&amp;AA77,[3]装备属性!$E$62:$E$277&amp;[3]装备属性!$G$62:$G$277,[3]装备属性!$I$62:$I$277)*6+IFERROR(_xlfn.XLOOKUP(T77&amp;AA77,[3]装备属性!$D$309:$D$557&amp;[3]装备属性!$F$309:$F$557,[3]装备属性!$H$309:$H$557)*AG77*6,0)+VLOOKUP(H210,$V$209:$X$216,3,0)*T210+100</f>
        <v>898</v>
      </c>
      <c r="J77" s="19">
        <v>1</v>
      </c>
      <c r="K77" s="19">
        <v>9</v>
      </c>
      <c r="L77" s="19">
        <v>9</v>
      </c>
      <c r="M77" s="19">
        <v>11</v>
      </c>
      <c r="N77" s="19">
        <v>12</v>
      </c>
      <c r="P77" s="19">
        <v>1</v>
      </c>
      <c r="Q77" s="19">
        <v>10</v>
      </c>
      <c r="R77" s="19">
        <v>10</v>
      </c>
      <c r="S77" s="19">
        <v>20</v>
      </c>
      <c r="T77" s="19">
        <v>20</v>
      </c>
      <c r="W77" s="19">
        <v>1</v>
      </c>
      <c r="X77" s="19" t="s">
        <v>320</v>
      </c>
      <c r="Y77" s="19" t="str">
        <f>VLOOKUP(INT(M11/10),$AI$77:$AJ$96,2,0)</f>
        <v>紫</v>
      </c>
      <c r="Z77" s="19" t="s">
        <v>323</v>
      </c>
      <c r="AA77" s="19" t="str">
        <f>VLOOKUP(INT(O11/10),$AI$77:$AJ$96,2,0)</f>
        <v>橙</v>
      </c>
      <c r="AC77" s="19">
        <v>1</v>
      </c>
      <c r="AD77" s="19">
        <v>0</v>
      </c>
      <c r="AE77" s="19">
        <v>0</v>
      </c>
      <c r="AF77" s="19">
        <v>0</v>
      </c>
      <c r="AG77" s="19">
        <v>0</v>
      </c>
      <c r="AI77" s="19">
        <v>1</v>
      </c>
      <c r="AJ77" s="19" t="s">
        <v>323</v>
      </c>
    </row>
    <row r="78" outlineLevel="1" spans="2:36">
      <c r="D78" s="19">
        <v>2</v>
      </c>
      <c r="E78" s="86" cm="1">
        <f ca="1" t="array" ref="E78">_xlfn.XLOOKUP(K78,[3]装备属性!$D$571:$D$870,[3]装备属性!$I$571:$I$870)*6+_xlfn.XLOOKUP(Q78&amp;X78,[3]装备属性!$E$62:$E$277&amp;[3]装备属性!$G$62:$G$277,[3]装备属性!$I$62:$I$277)*6+IFERROR(_xlfn.XLOOKUP(Q78&amp;X78,[3]装备属性!$D$309:$D$557&amp;[3]装备属性!$F$309:$F$557,[3]装备属性!$H$309:$H$557)*AD78*6,0)+VLOOKUP(E211,$V$209:$X$216,3,0)*Q211+100</f>
        <v>858</v>
      </c>
      <c r="F78" s="86" cm="1">
        <f ca="1" t="array" ref="F78">_xlfn.XLOOKUP(L78,[3]装备属性!$D$571:$D$870,[3]装备属性!$I$571:$I$870)*6+_xlfn.XLOOKUP(R78&amp;Y78,[3]装备属性!$E$62:$E$277&amp;[3]装备属性!$G$62:$G$277,[3]装备属性!$I$62:$I$277)*6+IFERROR(_xlfn.XLOOKUP(R78&amp;Y78,[3]装备属性!$D$309:$D$557&amp;[3]装备属性!$F$309:$F$557,[3]装备属性!$H$309:$H$557)*AE78*6,0)+VLOOKUP(F211,$V$209:$X$216,3,0)*R211+100</f>
        <v>938</v>
      </c>
      <c r="G78" s="86" cm="1">
        <f ca="1" t="array" ref="G78">_xlfn.XLOOKUP(M78,[3]装备属性!$D$571:$D$870,[3]装备属性!$I$571:$I$870)*6+_xlfn.XLOOKUP(S78&amp;Z78,[3]装备属性!$E$62:$E$277&amp;[3]装备属性!$G$62:$G$277,[3]装备属性!$I$62:$I$277)*6+IFERROR(_xlfn.XLOOKUP(S78&amp;Z78,[3]装备属性!$D$309:$D$557&amp;[3]装备属性!$F$309:$F$557,[3]装备属性!$H$309:$H$557)*AF78*6,0)+VLOOKUP(G211,$V$209:$X$216,3,0)*S211+100</f>
        <v>1010</v>
      </c>
      <c r="H78" s="86" cm="1">
        <f ca="1" t="array" ref="H78">_xlfn.XLOOKUP(N78,[3]装备属性!$D$571:$D$870,[3]装备属性!$I$571:$I$870)*6+_xlfn.XLOOKUP(T78&amp;AA78,[3]装备属性!$E$62:$E$277&amp;[3]装备属性!$G$62:$G$277,[3]装备属性!$I$62:$I$277)*6+IFERROR(_xlfn.XLOOKUP(T78&amp;AA78,[3]装备属性!$D$309:$D$557&amp;[3]装备属性!$F$309:$F$557,[3]装备属性!$H$309:$H$557)*AG78*6,0)+VLOOKUP(H211,$V$209:$X$216,3,0)*T211+100</f>
        <v>1228</v>
      </c>
      <c r="J78" s="19">
        <v>2</v>
      </c>
      <c r="K78" s="19">
        <v>13</v>
      </c>
      <c r="L78" s="19">
        <v>13</v>
      </c>
      <c r="M78" s="19">
        <v>16</v>
      </c>
      <c r="N78" s="19">
        <v>17</v>
      </c>
      <c r="P78" s="19">
        <v>2</v>
      </c>
      <c r="Q78" s="19">
        <v>20</v>
      </c>
      <c r="R78" s="19">
        <v>20</v>
      </c>
      <c r="S78" s="19">
        <v>20</v>
      </c>
      <c r="T78" s="19">
        <v>30</v>
      </c>
      <c r="W78" s="19">
        <v>2</v>
      </c>
      <c r="X78" s="19" t="str">
        <f t="shared" ref="X78:X109" si="0">VLOOKUP(INT(L12/10),$AI$77:$AJ$96,2,0)</f>
        <v>紫</v>
      </c>
      <c r="Y78" s="19" t="str">
        <f t="shared" ref="Y78:Y109" si="1">VLOOKUP(INT(M12/10),$AI$77:$AJ$96,2,0)</f>
        <v>橙</v>
      </c>
      <c r="Z78" s="19" t="str">
        <f t="shared" ref="Z78:Z109" si="2">VLOOKUP(INT(N12/10),$AI$77:$AJ$96,2,0)</f>
        <v>橙</v>
      </c>
      <c r="AA78" s="19" t="str">
        <f t="shared" ref="AA78:AA109" si="3">VLOOKUP(INT(O12/10),$AI$77:$AJ$96,2,0)</f>
        <v>橙</v>
      </c>
      <c r="AC78" s="19">
        <v>2</v>
      </c>
      <c r="AD78" s="19">
        <v>0</v>
      </c>
      <c r="AE78" s="19">
        <v>0</v>
      </c>
      <c r="AF78" s="19">
        <v>0</v>
      </c>
      <c r="AG78" s="19">
        <v>0</v>
      </c>
      <c r="AI78" s="19">
        <v>2</v>
      </c>
      <c r="AJ78" s="19" t="s">
        <v>326</v>
      </c>
    </row>
    <row r="79" outlineLevel="1" spans="2:36">
      <c r="D79" s="19">
        <v>3</v>
      </c>
      <c r="E79" s="86" cm="1">
        <f ca="1" t="array" ref="E79">_xlfn.XLOOKUP(K79,[3]装备属性!$D$571:$D$870,[3]装备属性!$I$571:$I$870)*6+_xlfn.XLOOKUP(Q79&amp;X79,[3]装备属性!$E$62:$E$277&amp;[3]装备属性!$G$62:$G$277,[3]装备属性!$I$62:$I$277)*6+IFERROR(_xlfn.XLOOKUP(Q79&amp;X79,[3]装备属性!$D$309:$D$557&amp;[3]装备属性!$F$309:$F$557,[3]装备属性!$H$309:$H$557)*AD79*6,0)+VLOOKUP(E212,$V$209:$X$216,3,0)*Q212+100</f>
        <v>1100</v>
      </c>
      <c r="F79" s="86" cm="1">
        <f ca="1" t="array" ref="F79">_xlfn.XLOOKUP(L79,[3]装备属性!$D$571:$D$870,[3]装备属性!$I$571:$I$870)*6+_xlfn.XLOOKUP(R79&amp;Y79,[3]装备属性!$E$62:$E$277&amp;[3]装备属性!$G$62:$G$277,[3]装备属性!$I$62:$I$277)*6+IFERROR(_xlfn.XLOOKUP(R79&amp;Y79,[3]装备属性!$D$309:$D$557&amp;[3]装备属性!$F$309:$F$557,[3]装备属性!$H$309:$H$557)*AE79*6,0)+VLOOKUP(F212,$V$209:$X$216,3,0)*R212+100</f>
        <v>1108</v>
      </c>
      <c r="G79" s="86" cm="1">
        <f ca="1" t="array" ref="G79">_xlfn.XLOOKUP(M79,[3]装备属性!$D$571:$D$870,[3]装备属性!$I$571:$I$870)*6+_xlfn.XLOOKUP(S79&amp;Z79,[3]装备属性!$E$62:$E$277&amp;[3]装备属性!$G$62:$G$277,[3]装备属性!$I$62:$I$277)*6+IFERROR(_xlfn.XLOOKUP(S79&amp;Z79,[3]装备属性!$D$309:$D$557&amp;[3]装备属性!$F$309:$F$557,[3]装备属性!$H$309:$H$557)*AF79*6,0)+VLOOKUP(G212,$V$209:$X$216,3,0)*S212+100</f>
        <v>1180</v>
      </c>
      <c r="H79" s="86" cm="1">
        <f ca="1" t="array" ref="H79">_xlfn.XLOOKUP(N79,[3]装备属性!$D$571:$D$870,[3]装备属性!$I$571:$I$870)*6+_xlfn.XLOOKUP(T79&amp;AA79,[3]装备属性!$E$62:$E$277&amp;[3]装备属性!$G$62:$G$277,[3]装备属性!$I$62:$I$277)*6+IFERROR(_xlfn.XLOOKUP(T79&amp;AA79,[3]装备属性!$D$309:$D$557&amp;[3]装备属性!$F$309:$F$557,[3]装备属性!$H$309:$H$557)*AG79*6,0)+VLOOKUP(H212,$V$209:$X$216,3,0)*T212+100</f>
        <v>1558</v>
      </c>
      <c r="J79" s="19">
        <v>3</v>
      </c>
      <c r="K79" s="19">
        <v>16</v>
      </c>
      <c r="L79" s="19">
        <v>16</v>
      </c>
      <c r="M79" s="19">
        <v>19</v>
      </c>
      <c r="N79" s="19">
        <v>20</v>
      </c>
      <c r="P79" s="19">
        <v>3</v>
      </c>
      <c r="Q79" s="19">
        <v>30</v>
      </c>
      <c r="R79" s="19">
        <v>30</v>
      </c>
      <c r="S79" s="19">
        <v>30</v>
      </c>
      <c r="T79" s="19">
        <v>40</v>
      </c>
      <c r="W79" s="19">
        <v>3</v>
      </c>
      <c r="X79" s="19" t="str">
        <f t="shared" si="0"/>
        <v>橙</v>
      </c>
      <c r="Y79" s="19" t="str">
        <f t="shared" si="1"/>
        <v>橙</v>
      </c>
      <c r="Z79" s="19" t="str">
        <f t="shared" si="2"/>
        <v>橙</v>
      </c>
      <c r="AA79" s="19" t="str">
        <f t="shared" si="3"/>
        <v>红</v>
      </c>
      <c r="AC79" s="19">
        <v>3</v>
      </c>
      <c r="AD79" s="19">
        <v>0</v>
      </c>
      <c r="AE79" s="19">
        <v>0</v>
      </c>
      <c r="AF79" s="19">
        <v>0</v>
      </c>
      <c r="AG79" s="19">
        <v>0</v>
      </c>
      <c r="AI79" s="19">
        <v>3</v>
      </c>
      <c r="AJ79" s="19" t="s">
        <v>326</v>
      </c>
    </row>
    <row r="80" outlineLevel="1" spans="2:36">
      <c r="D80" s="19">
        <v>4</v>
      </c>
      <c r="E80" s="86" cm="1">
        <f ca="1" t="array" ref="E80">_xlfn.XLOOKUP(K80,[3]装备属性!$D$571:$D$870,[3]装备属性!$I$571:$I$870)*6+_xlfn.XLOOKUP(Q80&amp;X80,[3]装备属性!$E$62:$E$277&amp;[3]装备属性!$G$62:$G$277,[3]装备属性!$I$62:$I$277)*6+IFERROR(_xlfn.XLOOKUP(Q80&amp;X80,[3]装备属性!$D$309:$D$557&amp;[3]装备属性!$F$309:$F$557,[3]装备属性!$H$309:$H$557)*AD80*6,0)+VLOOKUP(E213,$V$209:$X$216,3,0)*Q213+100</f>
        <v>1172</v>
      </c>
      <c r="F80" s="86" cm="1">
        <f ca="1" t="array" ref="F80">_xlfn.XLOOKUP(L80,[3]装备属性!$D$571:$D$870,[3]装备属性!$I$571:$I$870)*6+_xlfn.XLOOKUP(R80&amp;Y80,[3]装备属性!$E$62:$E$277&amp;[3]装备属性!$G$62:$G$277,[3]装备属性!$I$62:$I$277)*6+IFERROR(_xlfn.XLOOKUP(R80&amp;Y80,[3]装备属性!$D$309:$D$557&amp;[3]装备属性!$F$309:$F$557,[3]装备属性!$H$309:$H$557)*AE80*6,0)+VLOOKUP(F213,$V$209:$X$216,3,0)*R213+100</f>
        <v>1204</v>
      </c>
      <c r="G80" s="86" cm="1">
        <f ca="1" t="array" ref="G80">_xlfn.XLOOKUP(M80,[3]装备属性!$D$571:$D$870,[3]装备属性!$I$571:$I$870)*6+_xlfn.XLOOKUP(S80&amp;Z80,[3]装备属性!$E$62:$E$277&amp;[3]装备属性!$G$62:$G$277,[3]装备属性!$I$62:$I$277)*6+IFERROR(_xlfn.XLOOKUP(S80&amp;Z80,[3]装备属性!$D$309:$D$557&amp;[3]装备属性!$F$309:$F$557,[3]装备属性!$H$309:$H$557)*AF80*6,0)+VLOOKUP(G213,$V$209:$X$216,3,0)*S213+100</f>
        <v>1414</v>
      </c>
      <c r="H80" s="86" cm="1">
        <f ca="1" t="array" ref="H80">_xlfn.XLOOKUP(N80,[3]装备属性!$D$571:$D$870,[3]装备属性!$I$571:$I$870)*6+_xlfn.XLOOKUP(T80&amp;AA80,[3]装备属性!$E$62:$E$277&amp;[3]装备属性!$G$62:$G$277,[3]装备属性!$I$62:$I$277)*6+IFERROR(_xlfn.XLOOKUP(T80&amp;AA80,[3]装备属性!$D$309:$D$557&amp;[3]装备属性!$F$309:$F$557,[3]装备属性!$H$309:$H$557)*AG80*6,0)+VLOOKUP(H213,$V$209:$X$216,3,0)*T213+100</f>
        <v>1684</v>
      </c>
      <c r="J80" s="19">
        <v>4</v>
      </c>
      <c r="K80" s="19">
        <v>18</v>
      </c>
      <c r="L80" s="19">
        <v>19</v>
      </c>
      <c r="M80" s="19">
        <v>22</v>
      </c>
      <c r="N80" s="19">
        <v>23</v>
      </c>
      <c r="P80" s="19">
        <v>4</v>
      </c>
      <c r="Q80" s="19">
        <v>30</v>
      </c>
      <c r="R80" s="19">
        <v>30</v>
      </c>
      <c r="S80" s="19">
        <v>30</v>
      </c>
      <c r="T80" s="19">
        <v>40</v>
      </c>
      <c r="W80" s="19">
        <v>4</v>
      </c>
      <c r="X80" s="19" t="str">
        <f t="shared" si="0"/>
        <v>橙</v>
      </c>
      <c r="Y80" s="19" t="str">
        <f t="shared" si="1"/>
        <v>橙</v>
      </c>
      <c r="Z80" s="19" t="str">
        <f t="shared" si="2"/>
        <v>红</v>
      </c>
      <c r="AA80" s="19" t="str">
        <f t="shared" si="3"/>
        <v>红</v>
      </c>
      <c r="AC80" s="19">
        <v>4</v>
      </c>
      <c r="AD80" s="19">
        <v>0</v>
      </c>
      <c r="AE80" s="19">
        <v>0</v>
      </c>
      <c r="AF80" s="19">
        <v>0</v>
      </c>
      <c r="AG80" s="19">
        <v>0</v>
      </c>
      <c r="AI80" s="19">
        <v>4</v>
      </c>
      <c r="AJ80" s="19" t="s">
        <v>334</v>
      </c>
    </row>
    <row r="81" outlineLevel="1" spans="4:36">
      <c r="D81" s="19">
        <v>5</v>
      </c>
      <c r="E81" s="86" cm="1">
        <f ca="1" t="array" ref="E81">_xlfn.XLOOKUP(K81,[3]装备属性!$D$571:$D$870,[3]装备属性!$I$571:$I$870)*6+_xlfn.XLOOKUP(Q81&amp;X81,[3]装备属性!$E$62:$E$277&amp;[3]装备属性!$G$62:$G$277,[3]装备属性!$I$62:$I$277)*6+IFERROR(_xlfn.XLOOKUP(Q81&amp;X81,[3]装备属性!$D$309:$D$557&amp;[3]装备属性!$F$309:$F$557,[3]装备属性!$H$309:$H$557)*AD81*6,0)+VLOOKUP(E214,$V$209:$X$216,3,0)*Q214+100</f>
        <v>1320</v>
      </c>
      <c r="F81" s="86" cm="1">
        <f ca="1" t="array" ref="F81">_xlfn.XLOOKUP(L81,[3]装备属性!$D$571:$D$870,[3]装备属性!$I$571:$I$870)*6+_xlfn.XLOOKUP(R81&amp;Y81,[3]装备属性!$E$62:$E$277&amp;[3]装备属性!$G$62:$G$277,[3]装备属性!$I$62:$I$277)*6+IFERROR(_xlfn.XLOOKUP(R81&amp;Y81,[3]装备属性!$D$309:$D$557&amp;[3]装备属性!$F$309:$F$557,[3]装备属性!$H$309:$H$557)*AE81*6,0)+VLOOKUP(F214,$V$209:$X$216,3,0)*R214+100</f>
        <v>1388</v>
      </c>
      <c r="G81" s="86" cm="1">
        <f ca="1" t="array" ref="G81">_xlfn.XLOOKUP(M81,[3]装备属性!$D$571:$D$870,[3]装备属性!$I$571:$I$870)*6+_xlfn.XLOOKUP(S81&amp;Z81,[3]装备属性!$E$62:$E$277&amp;[3]装备属性!$G$62:$G$277,[3]装备属性!$I$62:$I$277)*6+IFERROR(_xlfn.XLOOKUP(S81&amp;Z81,[3]装备属性!$D$309:$D$557&amp;[3]装备属性!$F$309:$F$557,[3]装备属性!$H$309:$H$557)*AF81*6,0)+VLOOKUP(G214,$V$209:$X$216,3,0)*S214+100</f>
        <v>1616</v>
      </c>
      <c r="H81" s="86" cm="1">
        <f ca="1" t="array" ref="H81">_xlfn.XLOOKUP(N81,[3]装备属性!$D$571:$D$870,[3]装备属性!$I$571:$I$870)*6+_xlfn.XLOOKUP(T81&amp;AA81,[3]装备属性!$E$62:$E$277&amp;[3]装备属性!$G$62:$G$277,[3]装备属性!$I$62:$I$277)*6+IFERROR(_xlfn.XLOOKUP(T81&amp;AA81,[3]装备属性!$D$309:$D$557&amp;[3]装备属性!$F$309:$F$557,[3]装备属性!$H$309:$H$557)*AG81*6,0)+VLOOKUP(H214,$V$209:$X$216,3,0)*T214+100</f>
        <v>1906</v>
      </c>
      <c r="J81" s="19">
        <v>5</v>
      </c>
      <c r="K81" s="19">
        <v>20</v>
      </c>
      <c r="L81" s="19">
        <v>22</v>
      </c>
      <c r="M81" s="19">
        <v>25</v>
      </c>
      <c r="N81" s="19">
        <v>26</v>
      </c>
      <c r="P81" s="19">
        <v>5</v>
      </c>
      <c r="Q81" s="19">
        <v>40</v>
      </c>
      <c r="R81" s="19">
        <v>40</v>
      </c>
      <c r="S81" s="19">
        <v>40</v>
      </c>
      <c r="T81" s="19">
        <v>50</v>
      </c>
      <c r="W81" s="19">
        <v>5</v>
      </c>
      <c r="X81" s="19" t="str">
        <f t="shared" si="0"/>
        <v>橙</v>
      </c>
      <c r="Y81" s="19" t="str">
        <f t="shared" si="1"/>
        <v>橙</v>
      </c>
      <c r="Z81" s="19" t="str">
        <f t="shared" si="2"/>
        <v>红</v>
      </c>
      <c r="AA81" s="19" t="str">
        <f t="shared" si="3"/>
        <v>红</v>
      </c>
      <c r="AC81" s="19">
        <v>5</v>
      </c>
      <c r="AD81" s="19">
        <v>0</v>
      </c>
      <c r="AE81" s="19">
        <v>0</v>
      </c>
      <c r="AF81" s="19">
        <v>0</v>
      </c>
      <c r="AG81" s="19">
        <v>0</v>
      </c>
      <c r="AI81" s="19">
        <v>5</v>
      </c>
      <c r="AJ81" s="19" t="s">
        <v>334</v>
      </c>
    </row>
    <row r="82" outlineLevel="1" spans="4:36">
      <c r="D82" s="19">
        <v>6</v>
      </c>
      <c r="E82" s="86" cm="1">
        <f ca="1" t="array" ref="E82">_xlfn.XLOOKUP(K82,[3]装备属性!$D$571:$D$870,[3]装备属性!$I$571:$I$870)*6+_xlfn.XLOOKUP(Q82&amp;X82,[3]装备属性!$E$62:$E$277&amp;[3]装备属性!$G$62:$G$277,[3]装备属性!$I$62:$I$277)*6+IFERROR(_xlfn.XLOOKUP(Q82&amp;X82,[3]装备属性!$D$309:$D$557&amp;[3]装备属性!$F$309:$F$557,[3]装备属性!$H$309:$H$557)*AD82*6,0)+VLOOKUP(E215,$V$209:$X$216,3,0)*Q215+100</f>
        <v>1388</v>
      </c>
      <c r="F82" s="86" cm="1">
        <f ca="1" t="array" ref="F82">_xlfn.XLOOKUP(L82,[3]装备属性!$D$571:$D$870,[3]装备属性!$I$571:$I$870)*6+_xlfn.XLOOKUP(R82&amp;Y82,[3]装备属性!$E$62:$E$277&amp;[3]装备属性!$G$62:$G$277,[3]装备属性!$I$62:$I$277)*6+IFERROR(_xlfn.XLOOKUP(R82&amp;Y82,[3]装备属性!$D$309:$D$557&amp;[3]装备属性!$F$309:$F$557,[3]装备属性!$H$309:$H$557)*AE82*6,0)+VLOOKUP(F215,$V$209:$X$216,3,0)*R215+100</f>
        <v>1602</v>
      </c>
      <c r="G82" s="86" cm="1">
        <f ca="1" t="array" ref="G82">_xlfn.XLOOKUP(M82,[3]装备属性!$D$571:$D$870,[3]装备属性!$I$571:$I$870)*6+_xlfn.XLOOKUP(S82&amp;Z82,[3]装备属性!$E$62:$E$277&amp;[3]装备属性!$G$62:$G$277,[3]装备属性!$I$62:$I$277)*6+IFERROR(_xlfn.XLOOKUP(S82&amp;Z82,[3]装备属性!$D$309:$D$557&amp;[3]装备属性!$F$309:$F$557,[3]装备属性!$H$309:$H$557)*AF82*6,0)+VLOOKUP(G215,$V$209:$X$216,3,0)*S215+100</f>
        <v>1692</v>
      </c>
      <c r="H82" s="86" cm="1">
        <f ca="1" t="array" ref="H82">_xlfn.XLOOKUP(N82,[3]装备属性!$D$571:$D$870,[3]装备属性!$I$571:$I$870)*6+_xlfn.XLOOKUP(T82&amp;AA82,[3]装备属性!$E$62:$E$277&amp;[3]装备属性!$G$62:$G$277,[3]装备属性!$I$62:$I$277)*6+IFERROR(_xlfn.XLOOKUP(T82&amp;AA82,[3]装备属性!$D$309:$D$557&amp;[3]装备属性!$F$309:$F$557,[3]装备属性!$H$309:$H$557)*AG82*6,0)+VLOOKUP(H215,$V$209:$X$216,3,0)*T215+100</f>
        <v>2206</v>
      </c>
      <c r="J82" s="19">
        <v>6</v>
      </c>
      <c r="K82" s="19">
        <v>22</v>
      </c>
      <c r="L82" s="19">
        <v>24</v>
      </c>
      <c r="M82" s="19">
        <v>27</v>
      </c>
      <c r="N82" s="19">
        <v>29</v>
      </c>
      <c r="P82" s="19">
        <v>6</v>
      </c>
      <c r="Q82" s="19">
        <v>40</v>
      </c>
      <c r="R82" s="19">
        <v>40</v>
      </c>
      <c r="S82" s="19">
        <v>40</v>
      </c>
      <c r="T82" s="19">
        <v>50</v>
      </c>
      <c r="W82" s="19">
        <v>6</v>
      </c>
      <c r="X82" s="19" t="str">
        <f t="shared" si="0"/>
        <v>橙</v>
      </c>
      <c r="Y82" s="19" t="str">
        <f t="shared" si="1"/>
        <v>红</v>
      </c>
      <c r="Z82" s="19" t="str">
        <f t="shared" si="2"/>
        <v>红</v>
      </c>
      <c r="AA82" s="19" t="str">
        <f t="shared" si="3"/>
        <v>粉</v>
      </c>
      <c r="AC82" s="19">
        <v>6</v>
      </c>
      <c r="AD82" s="19">
        <v>0</v>
      </c>
      <c r="AE82" s="19">
        <v>0</v>
      </c>
      <c r="AF82" s="19">
        <v>0</v>
      </c>
      <c r="AG82" s="19">
        <v>0</v>
      </c>
      <c r="AI82" s="19">
        <v>6</v>
      </c>
      <c r="AJ82" s="19" t="s">
        <v>340</v>
      </c>
    </row>
    <row r="83" outlineLevel="1" spans="4:36">
      <c r="D83" s="19">
        <v>7</v>
      </c>
      <c r="E83" s="86" cm="1">
        <f ca="1" t="array" ref="E83">_xlfn.XLOOKUP(K83,[3]装备属性!$D$571:$D$870,[3]装备属性!$I$571:$I$870)*6+_xlfn.XLOOKUP(Q83&amp;X83,[3]装备属性!$E$62:$E$277&amp;[3]装备属性!$G$62:$G$277,[3]装备属性!$I$62:$I$277)*6+IFERROR(_xlfn.XLOOKUP(Q83&amp;X83,[3]装备属性!$D$309:$D$557&amp;[3]装备属性!$F$309:$F$557,[3]装备属性!$H$309:$H$557)*AD83*6,0)+VLOOKUP(E216,$V$209:$X$216,3,0)*Q216+100</f>
        <v>1464</v>
      </c>
      <c r="F83" s="86" cm="1">
        <f ca="1" t="array" ref="F83">_xlfn.XLOOKUP(L83,[3]装备属性!$D$571:$D$870,[3]装备属性!$I$571:$I$870)*6+_xlfn.XLOOKUP(R83&amp;Y83,[3]装备属性!$E$62:$E$277&amp;[3]装备属性!$G$62:$G$277,[3]装备属性!$I$62:$I$277)*6+IFERROR(_xlfn.XLOOKUP(R83&amp;Y83,[3]装备属性!$D$309:$D$557&amp;[3]装备属性!$F$309:$F$557,[3]装备属性!$H$309:$H$557)*AE83*6,0)+VLOOKUP(F216,$V$209:$X$216,3,0)*R216+100</f>
        <v>1786</v>
      </c>
      <c r="G83" s="86" cm="1">
        <f ca="1" t="array" ref="G83">_xlfn.XLOOKUP(M83,[3]装备属性!$D$571:$D$870,[3]装备属性!$I$571:$I$870)*6+_xlfn.XLOOKUP(S83&amp;Z83,[3]装备属性!$E$62:$E$277&amp;[3]装备属性!$G$62:$G$277,[3]装备属性!$I$62:$I$277)*6+IFERROR(_xlfn.XLOOKUP(S83&amp;Z83,[3]装备属性!$D$309:$D$557&amp;[3]装备属性!$F$309:$F$557,[3]装备属性!$H$309:$H$557)*AF83*6,0)+VLOOKUP(G216,$V$209:$X$216,3,0)*S216+100</f>
        <v>1876</v>
      </c>
      <c r="H83" s="86" cm="1">
        <f ca="1" t="array" ref="H83">_xlfn.XLOOKUP(N83,[3]装备属性!$D$571:$D$870,[3]装备属性!$I$571:$I$870)*6+_xlfn.XLOOKUP(T83&amp;AA83,[3]装备属性!$E$62:$E$277&amp;[3]装备属性!$G$62:$G$277,[3]装备属性!$I$62:$I$277)*6+IFERROR(_xlfn.XLOOKUP(T83&amp;AA83,[3]装备属性!$D$309:$D$557&amp;[3]装备属性!$F$309:$F$557,[3]装备属性!$H$309:$H$557)*AG83*6,0)+VLOOKUP(H216,$V$209:$X$216,3,0)*T216+100</f>
        <v>2452</v>
      </c>
      <c r="J83" s="19">
        <v>7</v>
      </c>
      <c r="K83" s="19">
        <v>24</v>
      </c>
      <c r="L83" s="19">
        <v>26</v>
      </c>
      <c r="M83" s="19">
        <v>29</v>
      </c>
      <c r="N83" s="19">
        <v>32</v>
      </c>
      <c r="P83" s="19">
        <v>7</v>
      </c>
      <c r="Q83" s="19">
        <v>40</v>
      </c>
      <c r="R83" s="19">
        <v>40</v>
      </c>
      <c r="S83" s="19">
        <v>40</v>
      </c>
      <c r="T83" s="19">
        <v>60</v>
      </c>
      <c r="W83" s="19">
        <v>7</v>
      </c>
      <c r="X83" s="19" t="str">
        <f t="shared" si="0"/>
        <v>橙</v>
      </c>
      <c r="Y83" s="19" t="str">
        <f t="shared" si="1"/>
        <v>红</v>
      </c>
      <c r="Z83" s="19" t="str">
        <f t="shared" si="2"/>
        <v>红</v>
      </c>
      <c r="AA83" s="19" t="str">
        <f t="shared" si="3"/>
        <v>粉</v>
      </c>
      <c r="AC83" s="19">
        <v>7</v>
      </c>
      <c r="AD83" s="19">
        <v>0</v>
      </c>
      <c r="AE83" s="19">
        <v>0</v>
      </c>
      <c r="AF83" s="19">
        <v>0</v>
      </c>
      <c r="AG83" s="19">
        <v>0</v>
      </c>
      <c r="AI83" s="19">
        <v>7</v>
      </c>
      <c r="AJ83" s="19" t="s">
        <v>340</v>
      </c>
    </row>
    <row r="84" outlineLevel="1" spans="4:36">
      <c r="D84" s="19">
        <v>8</v>
      </c>
      <c r="E84" s="86" cm="1">
        <f ca="1" t="array" ref="E84">_xlfn.XLOOKUP(K84,[3]装备属性!$D$571:$D$870,[3]装备属性!$I$571:$I$870)*6+_xlfn.XLOOKUP(Q84&amp;X84,[3]装备属性!$E$62:$E$277&amp;[3]装备属性!$G$62:$G$277,[3]装备属性!$I$62:$I$277)*6+IFERROR(_xlfn.XLOOKUP(Q84&amp;X84,[3]装备属性!$D$309:$D$557&amp;[3]装备属性!$F$309:$F$557,[3]装备属性!$H$309:$H$557)*AD84*6,0)+VLOOKUP(E217,$V$209:$X$216,3,0)*Q217+100</f>
        <v>1532</v>
      </c>
      <c r="F84" s="86" cm="1">
        <f ca="1" t="array" ref="F84">_xlfn.XLOOKUP(L84,[3]装备属性!$D$571:$D$870,[3]装备属性!$I$571:$I$870)*6+_xlfn.XLOOKUP(R84&amp;Y84,[3]装备属性!$E$62:$E$277&amp;[3]装备属性!$G$62:$G$277,[3]装备属性!$I$62:$I$277)*6+IFERROR(_xlfn.XLOOKUP(R84&amp;Y84,[3]装备属性!$D$309:$D$557&amp;[3]装备属性!$F$309:$F$557,[3]装备属性!$H$309:$H$557)*AE84*6,0)+VLOOKUP(F217,$V$209:$X$216,3,0)*R217+100</f>
        <v>1966</v>
      </c>
      <c r="G84" s="86" cm="1">
        <f ca="1" t="array" ref="G84">_xlfn.XLOOKUP(M84,[3]装备属性!$D$571:$D$870,[3]装备属性!$I$571:$I$870)*6+_xlfn.XLOOKUP(S84&amp;Z84,[3]装备属性!$E$62:$E$277&amp;[3]装备属性!$G$62:$G$277,[3]装备属性!$I$62:$I$277)*6+IFERROR(_xlfn.XLOOKUP(S84&amp;Z84,[3]装备属性!$D$309:$D$557&amp;[3]装备属性!$F$309:$F$557,[3]装备属性!$H$309:$H$557)*AF84*6,0)+VLOOKUP(G217,$V$209:$X$216,3,0)*S217+100</f>
        <v>2086</v>
      </c>
      <c r="H84" s="86" cm="1">
        <f ca="1" t="array" ref="H84">_xlfn.XLOOKUP(N84,[3]装备属性!$D$571:$D$870,[3]装备属性!$I$571:$I$870)*6+_xlfn.XLOOKUP(T84&amp;AA84,[3]装备属性!$E$62:$E$277&amp;[3]装备属性!$G$62:$G$277,[3]装备属性!$I$62:$I$277)*6+IFERROR(_xlfn.XLOOKUP(T84&amp;AA84,[3]装备属性!$D$309:$D$557&amp;[3]装备属性!$F$309:$F$557,[3]装备属性!$H$309:$H$557)*AG84*6,0)+VLOOKUP(H217,$V$209:$X$216,3,0)*T217+100</f>
        <v>2512</v>
      </c>
      <c r="J84" s="19">
        <v>8</v>
      </c>
      <c r="K84" s="19">
        <v>26</v>
      </c>
      <c r="L84" s="19">
        <v>28</v>
      </c>
      <c r="M84" s="19">
        <v>32</v>
      </c>
      <c r="N84" s="19">
        <v>34</v>
      </c>
      <c r="P84" s="19">
        <v>8</v>
      </c>
      <c r="Q84" s="19">
        <v>40</v>
      </c>
      <c r="R84" s="19">
        <v>50</v>
      </c>
      <c r="S84" s="19">
        <v>50</v>
      </c>
      <c r="T84" s="19">
        <v>60</v>
      </c>
      <c r="W84" s="19">
        <v>8</v>
      </c>
      <c r="X84" s="19" t="str">
        <f t="shared" si="0"/>
        <v>橙</v>
      </c>
      <c r="Y84" s="19" t="str">
        <f t="shared" si="1"/>
        <v>红</v>
      </c>
      <c r="Z84" s="19" t="str">
        <f t="shared" si="2"/>
        <v>红</v>
      </c>
      <c r="AA84" s="19" t="str">
        <f t="shared" si="3"/>
        <v>粉</v>
      </c>
      <c r="AC84" s="19">
        <v>8</v>
      </c>
      <c r="AD84" s="19">
        <v>0</v>
      </c>
      <c r="AE84" s="19">
        <v>0</v>
      </c>
      <c r="AF84" s="19">
        <v>0</v>
      </c>
      <c r="AG84" s="19">
        <v>0</v>
      </c>
      <c r="AI84" s="19">
        <v>8</v>
      </c>
      <c r="AJ84" s="19" t="s">
        <v>340</v>
      </c>
    </row>
    <row r="85" outlineLevel="1" spans="4:36">
      <c r="D85" s="19">
        <v>9</v>
      </c>
      <c r="E85" s="86" cm="1">
        <f ca="1" t="array" ref="E85">_xlfn.XLOOKUP(K85,[3]装备属性!$D$571:$D$870,[3]装备属性!$I$571:$I$870)*6+_xlfn.XLOOKUP(Q85&amp;X85,[3]装备属性!$E$62:$E$277&amp;[3]装备属性!$G$62:$G$277,[3]装备属性!$I$62:$I$277)*6+IFERROR(_xlfn.XLOOKUP(Q85&amp;X85,[3]装备属性!$D$309:$D$557&amp;[3]装备属性!$F$309:$F$557,[3]装备属性!$H$309:$H$557)*AD85*6,0)+VLOOKUP(E218,$V$209:$X$216,3,0)*Q218+100</f>
        <v>1846</v>
      </c>
      <c r="F85" s="86" cm="1">
        <f ca="1" t="array" ref="F85">_xlfn.XLOOKUP(L85,[3]装备属性!$D$571:$D$870,[3]装备属性!$I$571:$I$870)*6+_xlfn.XLOOKUP(R85&amp;Y85,[3]装备属性!$E$62:$E$277&amp;[3]装备属性!$G$62:$G$277,[3]装备属性!$I$62:$I$277)*6+IFERROR(_xlfn.XLOOKUP(R85&amp;Y85,[3]装备属性!$D$309:$D$557&amp;[3]装备属性!$F$309:$F$557,[3]装备属性!$H$309:$H$557)*AE85*6,0)+VLOOKUP(F218,$V$209:$X$216,3,0)*R218+100</f>
        <v>2026</v>
      </c>
      <c r="G85" s="86" cm="1">
        <f ca="1" t="array" ref="G85">_xlfn.XLOOKUP(M85,[3]装备属性!$D$571:$D$870,[3]装备属性!$I$571:$I$870)*6+_xlfn.XLOOKUP(S85&amp;Z85,[3]装备属性!$E$62:$E$277&amp;[3]装备属性!$G$62:$G$277,[3]装备属性!$I$62:$I$277)*6+IFERROR(_xlfn.XLOOKUP(S85&amp;Z85,[3]装备属性!$D$309:$D$557&amp;[3]装备属性!$F$309:$F$557,[3]装备属性!$H$309:$H$557)*AF85*6,0)+VLOOKUP(G218,$V$209:$X$216,3,0)*S218+100</f>
        <v>2146</v>
      </c>
      <c r="H85" s="86" cm="1">
        <f ca="1" t="array" ref="H85">_xlfn.XLOOKUP(N85,[3]装备属性!$D$571:$D$870,[3]装备属性!$I$571:$I$870)*6+_xlfn.XLOOKUP(T85&amp;AA85,[3]装备属性!$E$62:$E$277&amp;[3]装备属性!$G$62:$G$277,[3]装备属性!$I$62:$I$277)*6+IFERROR(_xlfn.XLOOKUP(T85&amp;AA85,[3]装备属性!$D$309:$D$557&amp;[3]装备属性!$F$309:$F$557,[3]装备属性!$H$309:$H$557)*AG85*6,0)+VLOOKUP(H218,$V$209:$X$216,3,0)*T218+100</f>
        <v>2674</v>
      </c>
      <c r="J85" s="19">
        <v>9</v>
      </c>
      <c r="K85" s="19">
        <v>28</v>
      </c>
      <c r="L85" s="19">
        <v>30</v>
      </c>
      <c r="M85" s="19">
        <v>34</v>
      </c>
      <c r="N85" s="19">
        <v>36</v>
      </c>
      <c r="P85" s="19">
        <v>9</v>
      </c>
      <c r="Q85" s="19">
        <v>50</v>
      </c>
      <c r="R85" s="19">
        <v>50</v>
      </c>
      <c r="S85" s="19">
        <v>50</v>
      </c>
      <c r="T85" s="19">
        <v>60</v>
      </c>
      <c r="W85" s="19">
        <v>9</v>
      </c>
      <c r="X85" s="19" t="str">
        <f t="shared" si="0"/>
        <v>红</v>
      </c>
      <c r="Y85" s="19" t="str">
        <f t="shared" si="1"/>
        <v>红</v>
      </c>
      <c r="Z85" s="19" t="str">
        <f t="shared" si="2"/>
        <v>红</v>
      </c>
      <c r="AA85" s="19" t="str">
        <f t="shared" si="3"/>
        <v>粉</v>
      </c>
      <c r="AC85" s="19">
        <v>9</v>
      </c>
      <c r="AD85" s="19">
        <v>0</v>
      </c>
      <c r="AE85" s="19">
        <v>0</v>
      </c>
      <c r="AF85" s="19">
        <v>0</v>
      </c>
      <c r="AG85" s="19">
        <v>0</v>
      </c>
      <c r="AI85" s="19">
        <v>9</v>
      </c>
      <c r="AJ85" s="19" t="s">
        <v>340</v>
      </c>
    </row>
    <row r="86" outlineLevel="1" spans="4:36">
      <c r="D86" s="19">
        <v>10</v>
      </c>
      <c r="E86" s="86" cm="1">
        <f ca="1" t="array" ref="E86">_xlfn.XLOOKUP(K86,[3]装备属性!$D$571:$D$870,[3]装备属性!$I$571:$I$870)*6+_xlfn.XLOOKUP(Q86&amp;X86,[3]装备属性!$E$62:$E$277&amp;[3]装备属性!$G$62:$G$277,[3]装备属性!$I$62:$I$277)*6+IFERROR(_xlfn.XLOOKUP(Q86&amp;X86,[3]装备属性!$D$309:$D$557&amp;[3]装备属性!$F$309:$F$557,[3]装备属性!$H$309:$H$557)*AD86*6,0)+VLOOKUP(E219,$V$209:$X$216,3,0)*Q219+100</f>
        <v>1906</v>
      </c>
      <c r="F86" s="86" cm="1">
        <f ca="1" t="array" ref="F86">_xlfn.XLOOKUP(L86,[3]装备属性!$D$571:$D$870,[3]装备属性!$I$571:$I$870)*6+_xlfn.XLOOKUP(R86&amp;Y86,[3]装备属性!$E$62:$E$277&amp;[3]装备属性!$G$62:$G$277,[3]装备属性!$I$62:$I$277)*6+IFERROR(_xlfn.XLOOKUP(R86&amp;Y86,[3]装备属性!$D$309:$D$557&amp;[3]装备属性!$F$309:$F$557,[3]装备属性!$H$309:$H$557)*AE86*6,0)+VLOOKUP(F219,$V$209:$X$216,3,0)*R219+100</f>
        <v>2086</v>
      </c>
      <c r="G86" s="86" cm="1">
        <f ca="1" t="array" ref="G86">_xlfn.XLOOKUP(M86,[3]装备属性!$D$571:$D$870,[3]装备属性!$I$571:$I$870)*6+_xlfn.XLOOKUP(S86&amp;Z86,[3]装备属性!$E$62:$E$277&amp;[3]装备属性!$G$62:$G$277,[3]装备属性!$I$62:$I$277)*6+IFERROR(_xlfn.XLOOKUP(S86&amp;Z86,[3]装备属性!$D$309:$D$557&amp;[3]装备属性!$F$309:$F$557,[3]装备属性!$H$309:$H$557)*AF86*6,0)+VLOOKUP(G219,$V$209:$X$216,3,0)*S219+100</f>
        <v>2428</v>
      </c>
      <c r="H86" s="86" cm="1">
        <f ca="1" t="array" ref="H86">_xlfn.XLOOKUP(N86,[3]装备属性!$D$571:$D$870,[3]装备属性!$I$571:$I$870)*6+_xlfn.XLOOKUP(T86&amp;AA86,[3]装备属性!$E$62:$E$277&amp;[3]装备属性!$G$62:$G$277,[3]装备属性!$I$62:$I$277)*6+IFERROR(_xlfn.XLOOKUP(T86&amp;AA86,[3]装备属性!$D$309:$D$557&amp;[3]装备属性!$F$309:$F$557,[3]装备属性!$H$309:$H$557)*AG86*6,0)+VLOOKUP(H219,$V$209:$X$216,3,0)*T219+100</f>
        <v>2746</v>
      </c>
      <c r="J86" s="19">
        <v>10</v>
      </c>
      <c r="K86" s="19">
        <v>30</v>
      </c>
      <c r="L86" s="19">
        <v>32</v>
      </c>
      <c r="M86" s="19">
        <v>36</v>
      </c>
      <c r="N86" s="19">
        <v>38</v>
      </c>
      <c r="P86" s="19">
        <v>10</v>
      </c>
      <c r="Q86" s="19">
        <v>50</v>
      </c>
      <c r="R86" s="19">
        <v>50</v>
      </c>
      <c r="S86" s="19">
        <v>50</v>
      </c>
      <c r="T86" s="19">
        <v>60</v>
      </c>
      <c r="W86" s="19">
        <v>10</v>
      </c>
      <c r="X86" s="19" t="str">
        <f t="shared" si="0"/>
        <v>红</v>
      </c>
      <c r="Y86" s="19" t="str">
        <f t="shared" si="1"/>
        <v>红</v>
      </c>
      <c r="Z86" s="19" t="str">
        <f t="shared" si="2"/>
        <v>粉</v>
      </c>
      <c r="AA86" s="19" t="str">
        <f t="shared" si="3"/>
        <v>粉</v>
      </c>
      <c r="AC86" s="19">
        <v>10</v>
      </c>
      <c r="AD86" s="19">
        <v>0</v>
      </c>
      <c r="AE86" s="19">
        <v>0</v>
      </c>
      <c r="AF86" s="19">
        <v>0</v>
      </c>
      <c r="AG86" s="19">
        <v>0</v>
      </c>
      <c r="AI86" s="19">
        <v>10</v>
      </c>
      <c r="AJ86" s="19" t="s">
        <v>340</v>
      </c>
    </row>
    <row r="87" outlineLevel="1" spans="4:36">
      <c r="D87" s="19">
        <v>11</v>
      </c>
      <c r="E87" s="86" cm="1">
        <f ca="1" t="array" ref="E87">_xlfn.XLOOKUP(K87,[3]装备属性!$D$571:$D$870,[3]装备属性!$I$571:$I$870)*6+_xlfn.XLOOKUP(Q87&amp;X87,[3]装备属性!$E$62:$E$277&amp;[3]装备属性!$G$62:$G$277,[3]装备属性!$I$62:$I$277)*6+IFERROR(_xlfn.XLOOKUP(Q87&amp;X87,[3]装备属性!$D$309:$D$557&amp;[3]装备属性!$F$309:$F$557,[3]装备属性!$H$309:$H$557)*AD87*6,0)+VLOOKUP(E220,$V$209:$X$216,3,0)*Q220+100</f>
        <v>1936</v>
      </c>
      <c r="F87" s="86" cm="1">
        <f ca="1" t="array" ref="F87">_xlfn.XLOOKUP(L87,[3]装备属性!$D$571:$D$870,[3]装备属性!$I$571:$I$870)*6+_xlfn.XLOOKUP(R87&amp;Y87,[3]装备属性!$E$62:$E$277&amp;[3]装备属性!$G$62:$G$277,[3]装备属性!$I$62:$I$277)*6+IFERROR(_xlfn.XLOOKUP(R87&amp;Y87,[3]装备属性!$D$309:$D$557&amp;[3]装备属性!$F$309:$F$557,[3]装备属性!$H$309:$H$557)*AE87*6,0)+VLOOKUP(F220,$V$209:$X$216,3,0)*R220+100</f>
        <v>2272</v>
      </c>
      <c r="G87" s="86" cm="1">
        <f ca="1" t="array" ref="G87">_xlfn.XLOOKUP(M87,[3]装备属性!$D$571:$D$870,[3]装备属性!$I$571:$I$870)*6+_xlfn.XLOOKUP(S87&amp;Z87,[3]装备属性!$E$62:$E$277&amp;[3]装备属性!$G$62:$G$277,[3]装备属性!$I$62:$I$277)*6+IFERROR(_xlfn.XLOOKUP(S87&amp;Z87,[3]装备属性!$D$309:$D$557&amp;[3]装备属性!$F$309:$F$557,[3]装备属性!$H$309:$H$557)*AF87*6,0)+VLOOKUP(G220,$V$209:$X$216,3,0)*S220+100</f>
        <v>2656</v>
      </c>
      <c r="H87" s="86" cm="1">
        <f ca="1" t="array" ref="H87">_xlfn.XLOOKUP(N87,[3]装备属性!$D$571:$D$870,[3]装备属性!$I$571:$I$870)*6+_xlfn.XLOOKUP(T87&amp;AA87,[3]装备属性!$E$62:$E$277&amp;[3]装备属性!$G$62:$G$277,[3]装备属性!$I$62:$I$277)*6+IFERROR(_xlfn.XLOOKUP(T87&amp;AA87,[3]装备属性!$D$309:$D$557&amp;[3]装备属性!$F$309:$F$557,[3]装备属性!$H$309:$H$557)*AG87*6,0)+VLOOKUP(H220,$V$209:$X$216,3,0)*T220+100</f>
        <v>2824</v>
      </c>
      <c r="J87" s="19">
        <v>11</v>
      </c>
      <c r="K87" s="19">
        <v>31</v>
      </c>
      <c r="L87" s="19">
        <v>34</v>
      </c>
      <c r="M87" s="19">
        <v>38</v>
      </c>
      <c r="N87" s="19">
        <v>40</v>
      </c>
      <c r="P87" s="19">
        <v>11</v>
      </c>
      <c r="Q87" s="19">
        <v>50</v>
      </c>
      <c r="R87" s="19">
        <v>60</v>
      </c>
      <c r="S87" s="19">
        <v>60</v>
      </c>
      <c r="T87" s="19">
        <v>60</v>
      </c>
      <c r="W87" s="19">
        <v>11</v>
      </c>
      <c r="X87" s="19" t="str">
        <f t="shared" si="0"/>
        <v>红</v>
      </c>
      <c r="Y87" s="19" t="str">
        <f t="shared" si="1"/>
        <v>红</v>
      </c>
      <c r="Z87" s="19" t="str">
        <f t="shared" si="2"/>
        <v>粉</v>
      </c>
      <c r="AA87" s="19" t="str">
        <f t="shared" si="3"/>
        <v>粉</v>
      </c>
      <c r="AC87" s="19">
        <v>11</v>
      </c>
      <c r="AD87" s="19">
        <v>0</v>
      </c>
      <c r="AE87" s="19">
        <v>0</v>
      </c>
      <c r="AF87" s="19">
        <v>0</v>
      </c>
      <c r="AG87" s="19">
        <v>0</v>
      </c>
      <c r="AI87" s="19">
        <v>11</v>
      </c>
      <c r="AJ87" s="19" t="s">
        <v>344</v>
      </c>
    </row>
    <row r="88" outlineLevel="1" spans="4:36">
      <c r="D88" s="19">
        <v>12</v>
      </c>
      <c r="E88" s="86" cm="1">
        <f ca="1" t="array" ref="E88">_xlfn.XLOOKUP(K88,[3]装备属性!$D$571:$D$870,[3]装备属性!$I$571:$I$870)*6+_xlfn.XLOOKUP(Q88&amp;X88,[3]装备属性!$E$62:$E$277&amp;[3]装备属性!$G$62:$G$277,[3]装备属性!$I$62:$I$277)*6+IFERROR(_xlfn.XLOOKUP(Q88&amp;X88,[3]装备属性!$D$309:$D$557&amp;[3]装备属性!$F$309:$F$557,[3]装备属性!$H$309:$H$557)*AD88*6,0)+VLOOKUP(E221,$V$209:$X$216,3,0)*Q221+100</f>
        <v>1996</v>
      </c>
      <c r="F88" s="86" cm="1">
        <f ca="1" t="array" ref="F88">_xlfn.XLOOKUP(L88,[3]装备属性!$D$571:$D$870,[3]装备属性!$I$571:$I$870)*6+_xlfn.XLOOKUP(R88&amp;Y88,[3]装备属性!$E$62:$E$277&amp;[3]装备属性!$G$62:$G$277,[3]装备属性!$I$62:$I$277)*6+IFERROR(_xlfn.XLOOKUP(R88&amp;Y88,[3]装备属性!$D$309:$D$557&amp;[3]装备属性!$F$309:$F$557,[3]装备属性!$H$309:$H$557)*AE88*6,0)+VLOOKUP(F221,$V$209:$X$216,3,0)*R221+100</f>
        <v>2344</v>
      </c>
      <c r="G88" s="86" cm="1">
        <f ca="1" t="array" ref="G88">_xlfn.XLOOKUP(M88,[3]装备属性!$D$571:$D$870,[3]装备属性!$I$571:$I$870)*6+_xlfn.XLOOKUP(S88&amp;Z88,[3]装备属性!$E$62:$E$277&amp;[3]装备属性!$G$62:$G$277,[3]装备属性!$I$62:$I$277)*6+IFERROR(_xlfn.XLOOKUP(S88&amp;Z88,[3]装备属性!$D$309:$D$557&amp;[3]装备属性!$F$309:$F$557,[3]装备属性!$H$309:$H$557)*AF88*6,0)+VLOOKUP(G221,$V$209:$X$216,3,0)*S221+100</f>
        <v>2734</v>
      </c>
      <c r="H88" s="86" cm="1">
        <f ca="1" t="array" ref="H88">_xlfn.XLOOKUP(N88,[3]装备属性!$D$571:$D$870,[3]装备属性!$I$571:$I$870)*6+_xlfn.XLOOKUP(T88&amp;AA88,[3]装备属性!$E$62:$E$277&amp;[3]装备属性!$G$62:$G$277,[3]装备属性!$I$62:$I$277)*6+IFERROR(_xlfn.XLOOKUP(T88&amp;AA88,[3]装备属性!$D$309:$D$557&amp;[3]装备属性!$F$309:$F$557,[3]装备属性!$H$309:$H$557)*AG88*6,0)+VLOOKUP(H221,$V$209:$X$216,3,0)*T221+100</f>
        <v>3088</v>
      </c>
      <c r="J88" s="19">
        <v>12</v>
      </c>
      <c r="K88" s="19">
        <v>33</v>
      </c>
      <c r="L88" s="19">
        <v>36</v>
      </c>
      <c r="M88" s="19">
        <v>40</v>
      </c>
      <c r="N88" s="19">
        <v>42</v>
      </c>
      <c r="P88" s="19">
        <v>12</v>
      </c>
      <c r="Q88" s="19">
        <v>50</v>
      </c>
      <c r="R88" s="19">
        <v>60</v>
      </c>
      <c r="S88" s="19">
        <v>60</v>
      </c>
      <c r="T88" s="19">
        <v>70</v>
      </c>
      <c r="W88" s="19">
        <v>12</v>
      </c>
      <c r="X88" s="19" t="str">
        <f t="shared" si="0"/>
        <v>红</v>
      </c>
      <c r="Y88" s="19" t="str">
        <f t="shared" si="1"/>
        <v>红</v>
      </c>
      <c r="Z88" s="19" t="str">
        <f t="shared" si="2"/>
        <v>粉</v>
      </c>
      <c r="AA88" s="19" t="str">
        <f t="shared" si="3"/>
        <v>粉</v>
      </c>
      <c r="AC88" s="19">
        <v>12</v>
      </c>
      <c r="AD88" s="19">
        <v>0</v>
      </c>
      <c r="AE88" s="19">
        <v>0</v>
      </c>
      <c r="AF88" s="19">
        <v>0</v>
      </c>
      <c r="AG88" s="19">
        <v>0</v>
      </c>
      <c r="AI88" s="19">
        <v>12</v>
      </c>
      <c r="AJ88" s="19" t="s">
        <v>344</v>
      </c>
    </row>
    <row r="89" outlineLevel="1" spans="4:36">
      <c r="D89" s="19">
        <v>13</v>
      </c>
      <c r="E89" s="86" cm="1">
        <f ca="1" t="array" ref="E89">_xlfn.XLOOKUP(K89,[3]装备属性!$D$571:$D$870,[3]装备属性!$I$571:$I$870)*6+_xlfn.XLOOKUP(Q89&amp;X89,[3]装备属性!$E$62:$E$277&amp;[3]装备属性!$G$62:$G$277,[3]装备属性!$I$62:$I$277)*6+IFERROR(_xlfn.XLOOKUP(Q89&amp;X89,[3]装备属性!$D$309:$D$557&amp;[3]装备属性!$F$309:$F$557,[3]装备属性!$H$309:$H$557)*AD89*6,0)+VLOOKUP(E222,$V$209:$X$216,3,0)*Q222+100</f>
        <v>2152</v>
      </c>
      <c r="F89" s="86" cm="1">
        <f ca="1" t="array" ref="F89">_xlfn.XLOOKUP(L89,[3]装备属性!$D$571:$D$870,[3]装备属性!$I$571:$I$870)*6+_xlfn.XLOOKUP(R89&amp;Y89,[3]装备属性!$E$62:$E$277&amp;[3]装备属性!$G$62:$G$277,[3]装备属性!$I$62:$I$277)*6+IFERROR(_xlfn.XLOOKUP(R89&amp;Y89,[3]装备属性!$D$309:$D$557&amp;[3]装备属性!$F$309:$F$557,[3]装备属性!$H$309:$H$557)*AE89*6,0)+VLOOKUP(F222,$V$209:$X$216,3,0)*R222+100</f>
        <v>2380</v>
      </c>
      <c r="G89" s="86" cm="1">
        <f ca="1" t="array" ref="G89">_xlfn.XLOOKUP(M89,[3]装备属性!$D$571:$D$870,[3]装备属性!$I$571:$I$870)*6+_xlfn.XLOOKUP(S89&amp;Z89,[3]装备属性!$E$62:$E$277&amp;[3]装备属性!$G$62:$G$277,[3]装备属性!$I$62:$I$277)*6+IFERROR(_xlfn.XLOOKUP(S89&amp;Z89,[3]装备属性!$D$309:$D$557&amp;[3]装备属性!$F$309:$F$557,[3]装备属性!$H$309:$H$557)*AF89*6,0)+VLOOKUP(G222,$V$209:$X$216,3,0)*S222+100</f>
        <v>2776</v>
      </c>
      <c r="H89" s="86" cm="1">
        <f ca="1" t="array" ref="H89">_xlfn.XLOOKUP(N89,[3]装备属性!$D$571:$D$870,[3]装备属性!$I$571:$I$870)*6+_xlfn.XLOOKUP(T89&amp;AA89,[3]装备属性!$E$62:$E$277&amp;[3]装备属性!$G$62:$G$277,[3]装备属性!$I$62:$I$277)*6+IFERROR(_xlfn.XLOOKUP(T89&amp;AA89,[3]装备属性!$D$309:$D$557&amp;[3]装备属性!$F$309:$F$557,[3]装备属性!$H$309:$H$557)*AG89*6,0)+VLOOKUP(H222,$V$209:$X$216,3,0)*T222+100</f>
        <v>3172</v>
      </c>
      <c r="J89" s="19">
        <v>13</v>
      </c>
      <c r="K89" s="19">
        <v>34</v>
      </c>
      <c r="L89" s="19">
        <v>37</v>
      </c>
      <c r="M89" s="19">
        <v>41</v>
      </c>
      <c r="N89" s="19">
        <v>44</v>
      </c>
      <c r="P89" s="19">
        <v>13</v>
      </c>
      <c r="Q89" s="19">
        <v>60</v>
      </c>
      <c r="R89" s="19">
        <v>60</v>
      </c>
      <c r="S89" s="19">
        <v>60</v>
      </c>
      <c r="T89" s="19">
        <v>70</v>
      </c>
      <c r="W89" s="19">
        <v>13</v>
      </c>
      <c r="X89" s="19" t="str">
        <f t="shared" si="0"/>
        <v>红</v>
      </c>
      <c r="Y89" s="19" t="str">
        <f t="shared" si="1"/>
        <v>红</v>
      </c>
      <c r="Z89" s="19" t="str">
        <f t="shared" si="2"/>
        <v>粉</v>
      </c>
      <c r="AA89" s="19" t="str">
        <f t="shared" si="3"/>
        <v>粉</v>
      </c>
      <c r="AC89" s="19">
        <v>13</v>
      </c>
      <c r="AD89" s="19">
        <v>0</v>
      </c>
      <c r="AE89" s="19">
        <v>0</v>
      </c>
      <c r="AF89" s="19">
        <v>0</v>
      </c>
      <c r="AG89" s="19">
        <v>0</v>
      </c>
      <c r="AI89" s="19">
        <v>13</v>
      </c>
      <c r="AJ89" s="19" t="s">
        <v>344</v>
      </c>
    </row>
    <row r="90" outlineLevel="1" spans="4:36">
      <c r="D90" s="19">
        <v>14</v>
      </c>
      <c r="E90" s="86" cm="1">
        <f ca="1" t="array" ref="E90">_xlfn.XLOOKUP(K90,[3]装备属性!$D$571:$D$870,[3]装备属性!$I$571:$I$870)*6+_xlfn.XLOOKUP(Q90&amp;X90,[3]装备属性!$E$62:$E$277&amp;[3]装备属性!$G$62:$G$277,[3]装备属性!$I$62:$I$277)*6+IFERROR(_xlfn.XLOOKUP(Q90&amp;X90,[3]装备属性!$D$309:$D$557&amp;[3]装备属性!$F$309:$F$557,[3]装备属性!$H$309:$H$557)*AD90*6,0)+VLOOKUP(E223,$V$209:$X$216,3,0)*Q223+100</f>
        <v>2344</v>
      </c>
      <c r="F90" s="86" cm="1">
        <f ca="1" t="array" ref="F90">_xlfn.XLOOKUP(L90,[3]装备属性!$D$571:$D$870,[3]装备属性!$I$571:$I$870)*6+_xlfn.XLOOKUP(R90&amp;Y90,[3]装备属性!$E$62:$E$277&amp;[3]装备属性!$G$62:$G$277,[3]装备属性!$I$62:$I$277)*6+IFERROR(_xlfn.XLOOKUP(R90&amp;Y90,[3]装备属性!$D$309:$D$557&amp;[3]装备属性!$F$309:$F$557,[3]装备属性!$H$309:$H$557)*AE90*6,0)+VLOOKUP(F223,$V$209:$X$216,3,0)*R223+100</f>
        <v>2692</v>
      </c>
      <c r="G90" s="86" cm="1">
        <f ca="1" t="array" ref="G90">_xlfn.XLOOKUP(M90,[3]装备属性!$D$571:$D$870,[3]装备属性!$I$571:$I$870)*6+_xlfn.XLOOKUP(S90&amp;Z90,[3]装备属性!$E$62:$E$277&amp;[3]装备属性!$G$62:$G$277,[3]装备属性!$I$62:$I$277)*6+IFERROR(_xlfn.XLOOKUP(S90&amp;Z90,[3]装备属性!$D$309:$D$557&amp;[3]装备属性!$F$309:$F$557,[3]装备属性!$H$309:$H$557)*AF90*6,0)+VLOOKUP(G223,$V$209:$X$216,3,0)*S223+100</f>
        <v>2860</v>
      </c>
      <c r="H90" s="86" cm="1">
        <f ca="1" t="array" ref="H90">_xlfn.XLOOKUP(N90,[3]装备属性!$D$571:$D$870,[3]装备属性!$I$571:$I$870)*6+_xlfn.XLOOKUP(T90&amp;AA90,[3]装备属性!$E$62:$E$277&amp;[3]装备属性!$G$62:$G$277,[3]装备属性!$I$62:$I$277)*6+IFERROR(_xlfn.XLOOKUP(T90&amp;AA90,[3]装备属性!$D$309:$D$557&amp;[3]装备属性!$F$309:$F$557,[3]装备属性!$H$309:$H$557)*AG90*6,0)+VLOOKUP(H223,$V$209:$X$216,3,0)*T223+100</f>
        <v>3256</v>
      </c>
      <c r="J90" s="19">
        <v>14</v>
      </c>
      <c r="K90" s="19">
        <v>36</v>
      </c>
      <c r="L90" s="19">
        <v>39</v>
      </c>
      <c r="M90" s="19">
        <v>43</v>
      </c>
      <c r="N90" s="19">
        <v>46</v>
      </c>
      <c r="P90" s="19">
        <v>14</v>
      </c>
      <c r="Q90" s="19">
        <v>60</v>
      </c>
      <c r="R90" s="19">
        <v>60</v>
      </c>
      <c r="S90" s="19">
        <v>60</v>
      </c>
      <c r="T90" s="19">
        <v>70</v>
      </c>
      <c r="W90" s="19">
        <v>14</v>
      </c>
      <c r="X90" s="19" t="str">
        <f t="shared" si="0"/>
        <v>红</v>
      </c>
      <c r="Y90" s="19" t="str">
        <f t="shared" si="1"/>
        <v>粉</v>
      </c>
      <c r="Z90" s="19" t="str">
        <f t="shared" si="2"/>
        <v>粉</v>
      </c>
      <c r="AA90" s="19" t="str">
        <f t="shared" si="3"/>
        <v>粉</v>
      </c>
      <c r="AC90" s="19">
        <v>14</v>
      </c>
      <c r="AD90" s="19">
        <v>0</v>
      </c>
      <c r="AE90" s="19">
        <v>0</v>
      </c>
      <c r="AF90" s="19">
        <v>0</v>
      </c>
      <c r="AG90" s="19">
        <v>0</v>
      </c>
      <c r="AI90" s="19">
        <v>14</v>
      </c>
      <c r="AJ90" s="19" t="s">
        <v>344</v>
      </c>
    </row>
    <row r="91" outlineLevel="1" spans="4:36">
      <c r="D91" s="19">
        <v>15</v>
      </c>
      <c r="E91" s="86" cm="1">
        <f ca="1" t="array" ref="E91">_xlfn.XLOOKUP(K91,[3]装备属性!$D$571:$D$870,[3]装备属性!$I$571:$I$870)*6+_xlfn.XLOOKUP(Q91&amp;X91,[3]装备属性!$E$62:$E$277&amp;[3]装备属性!$G$62:$G$277,[3]装备属性!$I$62:$I$277)*6+IFERROR(_xlfn.XLOOKUP(Q91&amp;X91,[3]装备属性!$D$309:$D$557&amp;[3]装备属性!$F$309:$F$557,[3]装备属性!$H$309:$H$557)*AD91*6,0)+VLOOKUP(E224,$V$209:$X$216,3,0)*Q224+100</f>
        <v>2380</v>
      </c>
      <c r="F91" s="86" cm="1">
        <f ca="1" t="array" ref="F91">_xlfn.XLOOKUP(L91,[3]装备属性!$D$571:$D$870,[3]装备属性!$I$571:$I$870)*6+_xlfn.XLOOKUP(R91&amp;Y91,[3]装备属性!$E$62:$E$277&amp;[3]装备属性!$G$62:$G$277,[3]装备属性!$I$62:$I$277)*6+IFERROR(_xlfn.XLOOKUP(R91&amp;Y91,[3]装备属性!$D$309:$D$557&amp;[3]装备属性!$F$309:$F$557,[3]装备属性!$H$309:$H$557)*AE91*6,0)+VLOOKUP(F224,$V$209:$X$216,3,0)*R224+100</f>
        <v>2734</v>
      </c>
      <c r="G91" s="86" cm="1">
        <f ca="1" t="array" ref="G91">_xlfn.XLOOKUP(M91,[3]装备属性!$D$571:$D$870,[3]装备属性!$I$571:$I$870)*6+_xlfn.XLOOKUP(S91&amp;Z91,[3]装备属性!$E$62:$E$277&amp;[3]装备属性!$G$62:$G$277,[3]装备属性!$I$62:$I$277)*6+IFERROR(_xlfn.XLOOKUP(S91&amp;Z91,[3]装备属性!$D$309:$D$557&amp;[3]装备属性!$F$309:$F$557,[3]装备属性!$H$309:$H$557)*AF91*6,0)+VLOOKUP(G224,$V$209:$X$216,3,0)*S224+100</f>
        <v>2902</v>
      </c>
      <c r="H91" s="86" cm="1">
        <f ca="1" t="array" ref="H91">_xlfn.XLOOKUP(N91,[3]装备属性!$D$571:$D$870,[3]装备属性!$I$571:$I$870)*6+_xlfn.XLOOKUP(T91&amp;AA91,[3]装备属性!$E$62:$E$277&amp;[3]装备属性!$G$62:$G$277,[3]装备属性!$I$62:$I$277)*6+IFERROR(_xlfn.XLOOKUP(T91&amp;AA91,[3]装备属性!$D$309:$D$557&amp;[3]装备属性!$F$309:$F$557,[3]装备属性!$H$309:$H$557)*AG91*6,0)+VLOOKUP(H224,$V$209:$X$216,3,0)*T224+100</f>
        <v>3298</v>
      </c>
      <c r="J91" s="19">
        <v>15</v>
      </c>
      <c r="K91" s="19">
        <v>37</v>
      </c>
      <c r="L91" s="19">
        <v>40</v>
      </c>
      <c r="M91" s="19">
        <v>44</v>
      </c>
      <c r="N91" s="19">
        <v>47</v>
      </c>
      <c r="P91" s="19">
        <v>15</v>
      </c>
      <c r="Q91" s="19">
        <v>60</v>
      </c>
      <c r="R91" s="19">
        <v>60</v>
      </c>
      <c r="S91" s="19">
        <v>60</v>
      </c>
      <c r="T91" s="19">
        <v>70</v>
      </c>
      <c r="W91" s="19">
        <v>15</v>
      </c>
      <c r="X91" s="19" t="str">
        <f t="shared" si="0"/>
        <v>红</v>
      </c>
      <c r="Y91" s="19" t="str">
        <f t="shared" si="1"/>
        <v>粉</v>
      </c>
      <c r="Z91" s="19" t="str">
        <f t="shared" si="2"/>
        <v>粉</v>
      </c>
      <c r="AA91" s="19" t="str">
        <f t="shared" si="3"/>
        <v>粉</v>
      </c>
      <c r="AC91" s="19">
        <v>15</v>
      </c>
      <c r="AD91" s="19">
        <v>0</v>
      </c>
      <c r="AE91" s="19">
        <v>0</v>
      </c>
      <c r="AF91" s="19">
        <v>0</v>
      </c>
      <c r="AG91" s="19">
        <v>0</v>
      </c>
      <c r="AI91" s="19">
        <v>15</v>
      </c>
      <c r="AJ91" s="19" t="s">
        <v>344</v>
      </c>
    </row>
    <row r="92" outlineLevel="1" spans="4:36">
      <c r="D92" s="19">
        <v>16</v>
      </c>
      <c r="E92" s="86" cm="1">
        <f ca="1" t="array" ref="E92">_xlfn.XLOOKUP(K92,[3]装备属性!$D$571:$D$870,[3]装备属性!$I$571:$I$870)*6+_xlfn.XLOOKUP(Q92&amp;X92,[3]装备属性!$E$62:$E$277&amp;[3]装备属性!$G$62:$G$277,[3]装备属性!$I$62:$I$277)*6+IFERROR(_xlfn.XLOOKUP(Q92&amp;X92,[3]装备属性!$D$309:$D$557&amp;[3]装备属性!$F$309:$F$557,[3]装备属性!$H$309:$H$557)*AD92*6,0)+VLOOKUP(E225,$V$209:$X$216,3,0)*Q225+100</f>
        <v>2452</v>
      </c>
      <c r="F92" s="86" cm="1">
        <f ca="1" t="array" ref="F92">_xlfn.XLOOKUP(L92,[3]装备属性!$D$571:$D$870,[3]装备属性!$I$571:$I$870)*6+_xlfn.XLOOKUP(R92&amp;Y92,[3]装备属性!$E$62:$E$277&amp;[3]装备属性!$G$62:$G$277,[3]装备属性!$I$62:$I$277)*6+IFERROR(_xlfn.XLOOKUP(R92&amp;Y92,[3]装备属性!$D$309:$D$557&amp;[3]装备属性!$F$309:$F$557,[3]装备属性!$H$309:$H$557)*AE92*6,0)+VLOOKUP(F225,$V$209:$X$216,3,0)*R225+100</f>
        <v>2818</v>
      </c>
      <c r="G92" s="86" cm="1">
        <f ca="1" t="array" ref="G92">_xlfn.XLOOKUP(M92,[3]装备属性!$D$571:$D$870,[3]装备属性!$I$571:$I$870)*6+_xlfn.XLOOKUP(S92&amp;Z92,[3]装备属性!$E$62:$E$277&amp;[3]装备属性!$G$62:$G$277,[3]装备属性!$I$62:$I$277)*6+IFERROR(_xlfn.XLOOKUP(S92&amp;Z92,[3]装备属性!$D$309:$D$557&amp;[3]装备属性!$F$309:$F$557,[3]装备属性!$H$309:$H$557)*AF92*6,0)+VLOOKUP(G225,$V$209:$X$216,3,0)*S225+100</f>
        <v>2986</v>
      </c>
      <c r="H92" s="86" cm="1">
        <f ca="1" t="array" ref="H92">_xlfn.XLOOKUP(N92,[3]装备属性!$D$571:$D$870,[3]装备属性!$I$571:$I$870)*6+_xlfn.XLOOKUP(T92&amp;AA92,[3]装备属性!$E$62:$E$277&amp;[3]装备属性!$G$62:$G$277,[3]装备属性!$I$62:$I$277)*6+IFERROR(_xlfn.XLOOKUP(T92&amp;AA92,[3]装备属性!$D$309:$D$557&amp;[3]装备属性!$F$309:$F$557,[3]装备属性!$H$309:$H$557)*AG92*6,0)+VLOOKUP(H225,$V$209:$X$216,3,0)*T225+100</f>
        <v>3394</v>
      </c>
      <c r="J92" s="19">
        <v>16</v>
      </c>
      <c r="K92" s="19">
        <v>39</v>
      </c>
      <c r="L92" s="19">
        <v>42</v>
      </c>
      <c r="M92" s="19">
        <v>46</v>
      </c>
      <c r="N92" s="19">
        <v>49</v>
      </c>
      <c r="P92" s="19">
        <v>16</v>
      </c>
      <c r="Q92" s="19">
        <v>60</v>
      </c>
      <c r="R92" s="19">
        <v>60</v>
      </c>
      <c r="S92" s="19">
        <v>60</v>
      </c>
      <c r="T92" s="19">
        <v>70</v>
      </c>
      <c r="W92" s="19">
        <v>16</v>
      </c>
      <c r="X92" s="19" t="str">
        <f t="shared" si="0"/>
        <v>红</v>
      </c>
      <c r="Y92" s="19" t="str">
        <f t="shared" si="1"/>
        <v>粉</v>
      </c>
      <c r="Z92" s="19" t="str">
        <f t="shared" si="2"/>
        <v>粉</v>
      </c>
      <c r="AA92" s="19" t="str">
        <f t="shared" si="3"/>
        <v>粉</v>
      </c>
      <c r="AC92" s="19">
        <v>16</v>
      </c>
      <c r="AD92" s="19">
        <v>0</v>
      </c>
      <c r="AE92" s="19">
        <v>0</v>
      </c>
      <c r="AF92" s="19">
        <v>0</v>
      </c>
      <c r="AG92" s="19">
        <v>0</v>
      </c>
      <c r="AI92" s="19">
        <v>16</v>
      </c>
      <c r="AJ92" s="19" t="s">
        <v>344</v>
      </c>
    </row>
    <row r="93" outlineLevel="1" spans="4:36">
      <c r="D93" s="19">
        <v>17</v>
      </c>
      <c r="E93" s="86" cm="1">
        <f ca="1" t="array" ref="E93">_xlfn.XLOOKUP(K93,[3]装备属性!$D$571:$D$870,[3]装备属性!$I$571:$I$870)*6+_xlfn.XLOOKUP(Q93&amp;X93,[3]装备属性!$E$62:$E$277&amp;[3]装备属性!$G$62:$G$277,[3]装备属性!$I$62:$I$277)*6+IFERROR(_xlfn.XLOOKUP(Q93&amp;X93,[3]装备属性!$D$309:$D$557&amp;[3]装备属性!$F$309:$F$557,[3]装备属性!$H$309:$H$557)*AD93*6,0)+VLOOKUP(E226,$V$209:$X$216,3,0)*Q226+100</f>
        <v>2494</v>
      </c>
      <c r="F93" s="86" cm="1">
        <f ca="1" t="array" ref="F93">_xlfn.XLOOKUP(L93,[3]装备属性!$D$571:$D$870,[3]装备属性!$I$571:$I$870)*6+_xlfn.XLOOKUP(R93&amp;Y93,[3]装备属性!$E$62:$E$277&amp;[3]装备属性!$G$62:$G$277,[3]装备属性!$I$62:$I$277)*6+IFERROR(_xlfn.XLOOKUP(R93&amp;Y93,[3]装备属性!$D$309:$D$557&amp;[3]装备属性!$F$309:$F$557,[3]装备属性!$H$309:$H$557)*AE93*6,0)+VLOOKUP(F226,$V$209:$X$216,3,0)*R226+100</f>
        <v>2860</v>
      </c>
      <c r="G93" s="86" cm="1">
        <f ca="1" t="array" ref="G93">_xlfn.XLOOKUP(M93,[3]装备属性!$D$571:$D$870,[3]装备属性!$I$571:$I$870)*6+_xlfn.XLOOKUP(S93&amp;Z93,[3]装备属性!$E$62:$E$277&amp;[3]装备属性!$G$62:$G$277,[3]装备属性!$I$62:$I$277)*6+IFERROR(_xlfn.XLOOKUP(S93&amp;Z93,[3]装备属性!$D$309:$D$557&amp;[3]装备属性!$F$309:$F$557,[3]装备属性!$H$309:$H$557)*AF93*6,0)+VLOOKUP(G226,$V$209:$X$216,3,0)*S226+100</f>
        <v>3028</v>
      </c>
      <c r="H93" s="86" cm="1">
        <f ca="1" t="array" ref="H93">_xlfn.XLOOKUP(N93,[3]装备属性!$D$571:$D$870,[3]装备属性!$I$571:$I$870)*6+_xlfn.XLOOKUP(T93&amp;AA93,[3]装备属性!$E$62:$E$277&amp;[3]装备属性!$G$62:$G$277,[3]装备属性!$I$62:$I$277)*6+IFERROR(_xlfn.XLOOKUP(T93&amp;AA93,[3]装备属性!$D$309:$D$557&amp;[3]装备属性!$F$309:$F$557,[3]装备属性!$H$309:$H$557)*AG93*6,0)+VLOOKUP(H226,$V$209:$X$216,3,0)*T226+100</f>
        <v>3442</v>
      </c>
      <c r="J93" s="19">
        <v>17</v>
      </c>
      <c r="K93" s="19">
        <v>40</v>
      </c>
      <c r="L93" s="19">
        <v>43</v>
      </c>
      <c r="M93" s="19">
        <v>47</v>
      </c>
      <c r="N93" s="19">
        <v>50</v>
      </c>
      <c r="P93" s="19">
        <v>17</v>
      </c>
      <c r="Q93" s="19">
        <v>60</v>
      </c>
      <c r="R93" s="19">
        <v>60</v>
      </c>
      <c r="S93" s="19">
        <v>60</v>
      </c>
      <c r="T93" s="19">
        <v>70</v>
      </c>
      <c r="W93" s="19">
        <v>17</v>
      </c>
      <c r="X93" s="19" t="str">
        <f t="shared" si="0"/>
        <v>红</v>
      </c>
      <c r="Y93" s="19" t="str">
        <f t="shared" si="1"/>
        <v>粉</v>
      </c>
      <c r="Z93" s="19" t="str">
        <f t="shared" si="2"/>
        <v>粉</v>
      </c>
      <c r="AA93" s="19" t="str">
        <f t="shared" si="3"/>
        <v>粉</v>
      </c>
      <c r="AC93" s="19">
        <v>17</v>
      </c>
      <c r="AD93" s="19">
        <v>0</v>
      </c>
      <c r="AE93" s="19">
        <v>0</v>
      </c>
      <c r="AF93" s="19">
        <v>0</v>
      </c>
      <c r="AG93" s="19">
        <v>0</v>
      </c>
      <c r="AI93" s="19">
        <v>17</v>
      </c>
      <c r="AJ93" s="19" t="s">
        <v>344</v>
      </c>
    </row>
    <row r="94" outlineLevel="1" spans="4:36">
      <c r="D94" s="19">
        <v>18</v>
      </c>
      <c r="E94" s="86" cm="1">
        <f ca="1" t="array" ref="E94">_xlfn.XLOOKUP(K94,[3]装备属性!$D$571:$D$870,[3]装备属性!$I$571:$I$870)*6+_xlfn.XLOOKUP(Q94&amp;X94,[3]装备属性!$E$62:$E$277&amp;[3]装备属性!$G$62:$G$277,[3]装备属性!$I$62:$I$277)*6+IFERROR(_xlfn.XLOOKUP(Q94&amp;X94,[3]装备属性!$D$309:$D$557&amp;[3]装备属性!$F$309:$F$557,[3]装备属性!$H$309:$H$557)*AD94*6,0)+VLOOKUP(E227,$V$209:$X$216,3,0)*Q227+100</f>
        <v>2536</v>
      </c>
      <c r="F94" s="86" cm="1">
        <f ca="1" t="array" ref="F94">_xlfn.XLOOKUP(L94,[3]装备属性!$D$571:$D$870,[3]装备属性!$I$571:$I$870)*6+_xlfn.XLOOKUP(R94&amp;Y94,[3]装备属性!$E$62:$E$277&amp;[3]装备属性!$G$62:$G$277,[3]装备属性!$I$62:$I$277)*6+IFERROR(_xlfn.XLOOKUP(R94&amp;Y94,[3]装备属性!$D$309:$D$557&amp;[3]装备属性!$F$309:$F$557,[3]装备属性!$H$309:$H$557)*AE94*6,0)+VLOOKUP(F227,$V$209:$X$216,3,0)*R227+100</f>
        <v>2944</v>
      </c>
      <c r="G94" s="86" cm="1">
        <f ca="1" t="array" ref="G94">_xlfn.XLOOKUP(M94,[3]装备属性!$D$571:$D$870,[3]装备属性!$I$571:$I$870)*6+_xlfn.XLOOKUP(S94&amp;Z94,[3]装备属性!$E$62:$E$277&amp;[3]装备属性!$G$62:$G$277,[3]装备属性!$I$62:$I$277)*6+IFERROR(_xlfn.XLOOKUP(S94&amp;Z94,[3]装备属性!$D$309:$D$557&amp;[3]装备属性!$F$309:$F$557,[3]装备属性!$H$309:$H$557)*AF94*6,0)+VLOOKUP(G227,$V$209:$X$216,3,0)*S227+100</f>
        <v>3076</v>
      </c>
      <c r="H94" s="86" cm="1">
        <f ca="1" t="array" ref="H94">_xlfn.XLOOKUP(N94,[3]装备属性!$D$571:$D$870,[3]装备属性!$I$571:$I$870)*6+_xlfn.XLOOKUP(T94&amp;AA94,[3]装备属性!$E$62:$E$277&amp;[3]装备属性!$G$62:$G$277,[3]装备属性!$I$62:$I$277)*6+IFERROR(_xlfn.XLOOKUP(T94&amp;AA94,[3]装备属性!$D$309:$D$557&amp;[3]装备属性!$F$309:$F$557,[3]装备属性!$H$309:$H$557)*AG94*6,0)+VLOOKUP(H227,$V$209:$X$216,3,0)*T227+100</f>
        <v>3502</v>
      </c>
      <c r="J94" s="19">
        <v>18</v>
      </c>
      <c r="K94" s="19">
        <v>41</v>
      </c>
      <c r="L94" s="19">
        <v>45</v>
      </c>
      <c r="M94" s="19">
        <v>48</v>
      </c>
      <c r="N94" s="19">
        <v>51</v>
      </c>
      <c r="P94" s="19">
        <v>18</v>
      </c>
      <c r="Q94" s="19">
        <v>60</v>
      </c>
      <c r="R94" s="19">
        <v>60</v>
      </c>
      <c r="S94" s="19">
        <v>60</v>
      </c>
      <c r="T94" s="19">
        <v>70</v>
      </c>
      <c r="W94" s="19">
        <v>18</v>
      </c>
      <c r="X94" s="19" t="str">
        <f t="shared" si="0"/>
        <v>红</v>
      </c>
      <c r="Y94" s="19" t="str">
        <f t="shared" si="1"/>
        <v>粉</v>
      </c>
      <c r="Z94" s="19" t="str">
        <f t="shared" si="2"/>
        <v>粉</v>
      </c>
      <c r="AA94" s="19" t="str">
        <f t="shared" si="3"/>
        <v>粉</v>
      </c>
      <c r="AC94" s="19">
        <v>18</v>
      </c>
      <c r="AD94" s="19">
        <v>0</v>
      </c>
      <c r="AE94" s="19">
        <v>0</v>
      </c>
      <c r="AF94" s="19">
        <v>0</v>
      </c>
      <c r="AG94" s="19">
        <v>0</v>
      </c>
      <c r="AI94" s="19">
        <v>18</v>
      </c>
      <c r="AJ94" s="19" t="s">
        <v>344</v>
      </c>
    </row>
    <row r="95" outlineLevel="1" spans="4:36">
      <c r="D95" s="19">
        <v>19</v>
      </c>
      <c r="E95" s="86" cm="1">
        <f ca="1" t="array" ref="E95">_xlfn.XLOOKUP(K95,[3]装备属性!$D$571:$D$870,[3]装备属性!$I$571:$I$870)*6+_xlfn.XLOOKUP(Q95&amp;X95,[3]装备属性!$E$62:$E$277&amp;[3]装备属性!$G$62:$G$277,[3]装备属性!$I$62:$I$277)*6+IFERROR(_xlfn.XLOOKUP(Q95&amp;X95,[3]装备属性!$D$309:$D$557&amp;[3]装备属性!$F$309:$F$557,[3]装备属性!$H$309:$H$557)*AD95*6,0)+VLOOKUP(E228,$V$209:$X$216,3,0)*Q228+100</f>
        <v>2578</v>
      </c>
      <c r="F95" s="86" cm="1">
        <f ca="1" t="array" ref="F95">_xlfn.XLOOKUP(L95,[3]装备属性!$D$571:$D$870,[3]装备属性!$I$571:$I$870)*6+_xlfn.XLOOKUP(R95&amp;Y95,[3]装备属性!$E$62:$E$277&amp;[3]装备属性!$G$62:$G$277,[3]装备属性!$I$62:$I$277)*6+IFERROR(_xlfn.XLOOKUP(R95&amp;Y95,[3]装备属性!$D$309:$D$557&amp;[3]装备属性!$F$309:$F$557,[3]装备属性!$H$309:$H$557)*AE95*6,0)+VLOOKUP(F228,$V$209:$X$216,3,0)*R228+100</f>
        <v>3166</v>
      </c>
      <c r="G95" s="86" cm="1">
        <f ca="1" t="array" ref="G95">_xlfn.XLOOKUP(M95,[3]装备属性!$D$571:$D$870,[3]装备属性!$I$571:$I$870)*6+_xlfn.XLOOKUP(S95&amp;Z95,[3]装备属性!$E$62:$E$277&amp;[3]装备属性!$G$62:$G$277,[3]装备属性!$I$62:$I$277)*6+IFERROR(_xlfn.XLOOKUP(S95&amp;Z95,[3]装备属性!$D$309:$D$557&amp;[3]装备属性!$F$309:$F$557,[3]装备属性!$H$309:$H$557)*AF95*6,0)+VLOOKUP(G228,$V$209:$X$216,3,0)*S228+100</f>
        <v>3304</v>
      </c>
      <c r="H95" s="86" cm="1">
        <f ca="1" t="array" ref="H95">_xlfn.XLOOKUP(N95,[3]装备属性!$D$571:$D$870,[3]装备属性!$I$571:$I$870)*6+_xlfn.XLOOKUP(T95&amp;AA95,[3]装备属性!$E$62:$E$277&amp;[3]装备属性!$G$62:$G$277,[3]装备属性!$I$62:$I$277)*6+IFERROR(_xlfn.XLOOKUP(T95&amp;AA95,[3]装备属性!$D$309:$D$557&amp;[3]装备属性!$F$309:$F$557,[3]装备属性!$H$309:$H$557)*AG95*6,0)+VLOOKUP(H228,$V$209:$X$216,3,0)*T228+100</f>
        <v>3826</v>
      </c>
      <c r="J95" s="19">
        <v>19</v>
      </c>
      <c r="K95" s="19">
        <v>42</v>
      </c>
      <c r="L95" s="19">
        <v>46</v>
      </c>
      <c r="M95" s="19">
        <v>49</v>
      </c>
      <c r="N95" s="19">
        <v>53</v>
      </c>
      <c r="P95" s="19">
        <v>19</v>
      </c>
      <c r="Q95" s="19">
        <v>60</v>
      </c>
      <c r="R95" s="19">
        <v>70</v>
      </c>
      <c r="S95" s="19">
        <v>70</v>
      </c>
      <c r="T95" s="19">
        <v>80</v>
      </c>
      <c r="W95" s="19">
        <v>19</v>
      </c>
      <c r="X95" s="19" t="str">
        <f t="shared" si="0"/>
        <v>红</v>
      </c>
      <c r="Y95" s="19" t="str">
        <f t="shared" si="1"/>
        <v>粉</v>
      </c>
      <c r="Z95" s="19" t="str">
        <f t="shared" si="2"/>
        <v>粉</v>
      </c>
      <c r="AA95" s="19" t="str">
        <f t="shared" si="3"/>
        <v>粉</v>
      </c>
      <c r="AC95" s="19">
        <v>19</v>
      </c>
      <c r="AD95" s="19">
        <v>0</v>
      </c>
      <c r="AE95" s="19">
        <v>0</v>
      </c>
      <c r="AF95" s="19">
        <v>0</v>
      </c>
      <c r="AG95" s="19">
        <v>0</v>
      </c>
      <c r="AI95" s="19">
        <v>19</v>
      </c>
      <c r="AJ95" s="19" t="s">
        <v>344</v>
      </c>
    </row>
    <row r="96" outlineLevel="1" spans="4:36">
      <c r="D96" s="19">
        <v>20</v>
      </c>
      <c r="E96" s="86" cm="1">
        <f ca="1" t="array" ref="E96">_xlfn.XLOOKUP(K96,[3]装备属性!$D$571:$D$870,[3]装备属性!$I$571:$I$870)*6+_xlfn.XLOOKUP(Q96&amp;X96,[3]装备属性!$E$62:$E$277&amp;[3]装备属性!$G$62:$G$277,[3]装备属性!$I$62:$I$277)*6+IFERROR(_xlfn.XLOOKUP(Q96&amp;X96,[3]装备属性!$D$309:$D$557&amp;[3]装备属性!$F$309:$F$557,[3]装备属性!$H$309:$H$557)*AD96*6,0)+VLOOKUP(E229,$V$209:$X$216,3,0)*Q229+100</f>
        <v>2620</v>
      </c>
      <c r="F96" s="86" cm="1">
        <f ca="1" t="array" ref="F96">_xlfn.XLOOKUP(L96,[3]装备属性!$D$571:$D$870,[3]装备属性!$I$571:$I$870)*6+_xlfn.XLOOKUP(R96&amp;Y96,[3]装备属性!$E$62:$E$277&amp;[3]装备属性!$G$62:$G$277,[3]装备属性!$I$62:$I$277)*6+IFERROR(_xlfn.XLOOKUP(R96&amp;Y96,[3]装备属性!$D$309:$D$557&amp;[3]装备属性!$F$309:$F$557,[3]装备属性!$H$309:$H$557)*AE96*6,0)+VLOOKUP(F229,$V$209:$X$216,3,0)*R229+100</f>
        <v>3208</v>
      </c>
      <c r="G96" s="86" cm="1">
        <f ca="1" t="array" ref="G96">_xlfn.XLOOKUP(M96,[3]装备属性!$D$571:$D$870,[3]装备属性!$I$571:$I$870)*6+_xlfn.XLOOKUP(S96&amp;Z96,[3]装备属性!$E$62:$E$277&amp;[3]装备属性!$G$62:$G$277,[3]装备属性!$I$62:$I$277)*6+IFERROR(_xlfn.XLOOKUP(S96&amp;Z96,[3]装备属性!$D$309:$D$557&amp;[3]装备属性!$F$309:$F$557,[3]装备属性!$H$309:$H$557)*AF96*6,0)+VLOOKUP(G229,$V$209:$X$216,3,0)*S229+100</f>
        <v>3412</v>
      </c>
      <c r="H96" s="86" cm="1">
        <f ca="1" t="array" ref="H96">_xlfn.XLOOKUP(N96,[3]装备属性!$D$571:$D$870,[3]装备属性!$I$571:$I$870)*6+_xlfn.XLOOKUP(T96&amp;AA96,[3]装备属性!$E$62:$E$277&amp;[3]装备属性!$G$62:$G$277,[3]装备属性!$I$62:$I$277)*6+IFERROR(_xlfn.XLOOKUP(T96&amp;AA96,[3]装备属性!$D$309:$D$557&amp;[3]装备属性!$F$309:$F$557,[3]装备属性!$H$309:$H$557)*AG96*6,0)+VLOOKUP(H229,$V$209:$X$216,3,0)*T229+100</f>
        <v>3886</v>
      </c>
      <c r="J96" s="19">
        <v>20</v>
      </c>
      <c r="K96" s="19">
        <v>43</v>
      </c>
      <c r="L96" s="19">
        <v>47</v>
      </c>
      <c r="M96" s="19">
        <v>51</v>
      </c>
      <c r="N96" s="19">
        <v>54</v>
      </c>
      <c r="P96" s="19">
        <v>20</v>
      </c>
      <c r="Q96" s="19">
        <v>60</v>
      </c>
      <c r="R96" s="19">
        <v>70</v>
      </c>
      <c r="S96" s="19">
        <v>70</v>
      </c>
      <c r="T96" s="19">
        <v>80</v>
      </c>
      <c r="W96" s="19">
        <v>20</v>
      </c>
      <c r="X96" s="19" t="str">
        <f t="shared" si="0"/>
        <v>红</v>
      </c>
      <c r="Y96" s="19" t="str">
        <f t="shared" si="1"/>
        <v>粉</v>
      </c>
      <c r="Z96" s="19" t="str">
        <f t="shared" si="2"/>
        <v>粉</v>
      </c>
      <c r="AA96" s="19" t="str">
        <f t="shared" si="3"/>
        <v>粉</v>
      </c>
      <c r="AC96" s="19">
        <v>20</v>
      </c>
      <c r="AD96" s="19">
        <v>0</v>
      </c>
      <c r="AE96" s="19">
        <v>0</v>
      </c>
      <c r="AF96" s="19">
        <v>0</v>
      </c>
      <c r="AG96" s="19">
        <v>0</v>
      </c>
      <c r="AI96" s="19">
        <v>20</v>
      </c>
      <c r="AJ96" s="19" t="s">
        <v>344</v>
      </c>
    </row>
    <row r="97" outlineLevel="1" spans="4:33">
      <c r="D97" s="19">
        <v>21</v>
      </c>
      <c r="E97" s="86" cm="1">
        <f ca="1" t="array" ref="E97">_xlfn.XLOOKUP(K97,[3]装备属性!$D$571:$D$870,[3]装备属性!$I$571:$I$870)*6+_xlfn.XLOOKUP(Q97&amp;X97,[3]装备属性!$E$62:$E$277&amp;[3]装备属性!$G$62:$G$277,[3]装备属性!$I$62:$I$277)*6+IFERROR(_xlfn.XLOOKUP(Q97&amp;X97,[3]装备属性!$D$309:$D$557&amp;[3]装备属性!$F$309:$F$557,[3]装备属性!$H$309:$H$557)*AD97*6,0)+VLOOKUP(E230,$V$209:$X$216,3,0)*Q230+100</f>
        <v>2848</v>
      </c>
      <c r="F97" s="86" cm="1">
        <f ca="1" t="array" ref="F97">_xlfn.XLOOKUP(L97,[3]装备属性!$D$571:$D$870,[3]装备属性!$I$571:$I$870)*6+_xlfn.XLOOKUP(R97&amp;Y97,[3]装备属性!$E$62:$E$277&amp;[3]装备属性!$G$62:$G$277,[3]装备属性!$I$62:$I$277)*6+IFERROR(_xlfn.XLOOKUP(R97&amp;Y97,[3]装备属性!$D$309:$D$557&amp;[3]装备属性!$F$309:$F$557,[3]装备属性!$H$309:$H$557)*AE97*6,0)+VLOOKUP(F230,$V$209:$X$216,3,0)*R230+100</f>
        <v>3256</v>
      </c>
      <c r="G97" s="86" cm="1">
        <f ca="1" t="array" ref="G97">_xlfn.XLOOKUP(M97,[3]装备属性!$D$571:$D$870,[3]装备属性!$I$571:$I$870)*6+_xlfn.XLOOKUP(S97&amp;Z97,[3]装备属性!$E$62:$E$277&amp;[3]装备属性!$G$62:$G$277,[3]装备属性!$I$62:$I$277)*6+IFERROR(_xlfn.XLOOKUP(S97&amp;Z97,[3]装备属性!$D$309:$D$557&amp;[3]装备属性!$F$309:$F$557,[3]装备属性!$H$309:$H$557)*AF97*6,0)+VLOOKUP(G230,$V$209:$X$216,3,0)*S230+100</f>
        <v>3472</v>
      </c>
      <c r="H97" s="86" cm="1">
        <f ca="1" t="array" ref="H97">_xlfn.XLOOKUP(N97,[3]装备属性!$D$571:$D$870,[3]装备属性!$I$571:$I$870)*6+_xlfn.XLOOKUP(T97&amp;AA97,[3]装备属性!$E$62:$E$277&amp;[3]装备属性!$G$62:$G$277,[3]装备属性!$I$62:$I$277)*6+IFERROR(_xlfn.XLOOKUP(T97&amp;AA97,[3]装备属性!$D$309:$D$557&amp;[3]装备属性!$F$309:$F$557,[3]装备属性!$H$309:$H$557)*AG97*6,0)+VLOOKUP(H230,$V$209:$X$216,3,0)*T230+100</f>
        <v>3946</v>
      </c>
      <c r="J97" s="19">
        <v>21</v>
      </c>
      <c r="K97" s="19">
        <v>45</v>
      </c>
      <c r="L97" s="19">
        <v>48</v>
      </c>
      <c r="M97" s="19">
        <v>52</v>
      </c>
      <c r="N97" s="19">
        <v>55</v>
      </c>
      <c r="P97" s="19">
        <v>21</v>
      </c>
      <c r="Q97" s="19">
        <v>70</v>
      </c>
      <c r="R97" s="19">
        <v>70</v>
      </c>
      <c r="S97" s="19">
        <v>70</v>
      </c>
      <c r="T97" s="19">
        <v>80</v>
      </c>
      <c r="W97" s="19">
        <v>21</v>
      </c>
      <c r="X97" s="19" t="str">
        <f t="shared" si="0"/>
        <v>红</v>
      </c>
      <c r="Y97" s="19" t="str">
        <f t="shared" si="1"/>
        <v>粉</v>
      </c>
      <c r="Z97" s="19" t="str">
        <f t="shared" si="2"/>
        <v>粉</v>
      </c>
      <c r="AA97" s="19" t="str">
        <f t="shared" si="3"/>
        <v>粉</v>
      </c>
      <c r="AC97" s="19">
        <v>21</v>
      </c>
      <c r="AD97" s="19">
        <v>0</v>
      </c>
      <c r="AE97" s="19">
        <v>0</v>
      </c>
      <c r="AF97" s="19">
        <v>0</v>
      </c>
      <c r="AG97" s="19">
        <v>0</v>
      </c>
    </row>
    <row r="98" outlineLevel="1" spans="4:33">
      <c r="D98" s="19">
        <v>22</v>
      </c>
      <c r="E98" s="86" cm="1">
        <f ca="1" t="array" ref="E98">_xlfn.XLOOKUP(K98,[3]装备属性!$D$571:$D$870,[3]装备属性!$I$571:$I$870)*6+_xlfn.XLOOKUP(Q98&amp;X98,[3]装备属性!$E$62:$E$277&amp;[3]装备属性!$G$62:$G$277,[3]装备属性!$I$62:$I$277)*6+IFERROR(_xlfn.XLOOKUP(Q98&amp;X98,[3]装备属性!$D$309:$D$557&amp;[3]装备属性!$F$309:$F$557,[3]装备属性!$H$309:$H$557)*AD98*6,0)+VLOOKUP(E231,$V$209:$X$216,3,0)*Q231+100</f>
        <v>2890</v>
      </c>
      <c r="F98" s="86" cm="1">
        <f ca="1" t="array" ref="F98">_xlfn.XLOOKUP(L98,[3]装备属性!$D$571:$D$870,[3]装备属性!$I$571:$I$870)*6+_xlfn.XLOOKUP(R98&amp;Y98,[3]装备属性!$E$62:$E$277&amp;[3]装备属性!$G$62:$G$277,[3]装备属性!$I$62:$I$277)*6+IFERROR(_xlfn.XLOOKUP(R98&amp;Y98,[3]装备属性!$D$309:$D$557&amp;[3]装备属性!$F$309:$F$557,[3]装备属性!$H$309:$H$557)*AE98*6,0)+VLOOKUP(F231,$V$209:$X$216,3,0)*R231+100</f>
        <v>3304</v>
      </c>
      <c r="G98" s="86" cm="1">
        <f ca="1" t="array" ref="G98">_xlfn.XLOOKUP(M98,[3]装备属性!$D$571:$D$870,[3]装备属性!$I$571:$I$870)*6+_xlfn.XLOOKUP(S98&amp;Z98,[3]装备属性!$E$62:$E$277&amp;[3]装备属性!$G$62:$G$277,[3]装备属性!$I$62:$I$277)*6+IFERROR(_xlfn.XLOOKUP(S98&amp;Z98,[3]装备属性!$D$309:$D$557&amp;[3]装备属性!$F$309:$F$557,[3]装备属性!$H$309:$H$557)*AF98*6,0)+VLOOKUP(G231,$V$209:$X$216,3,0)*S231+100</f>
        <v>3532</v>
      </c>
      <c r="H98" s="86" cm="1">
        <f ca="1" t="array" ref="H98">_xlfn.XLOOKUP(N98,[3]装备属性!$D$571:$D$870,[3]装备属性!$I$571:$I$870)*6+_xlfn.XLOOKUP(T98&amp;AA98,[3]装备属性!$E$62:$E$277&amp;[3]装备属性!$G$62:$G$277,[3]装备属性!$I$62:$I$277)*6+IFERROR(_xlfn.XLOOKUP(T98&amp;AA98,[3]装备属性!$D$309:$D$557&amp;[3]装备属性!$F$309:$F$557,[3]装备属性!$H$309:$H$557)*AG98*6,0)+VLOOKUP(H231,$V$209:$X$216,3,0)*T231+100</f>
        <v>4006</v>
      </c>
      <c r="J98" s="19">
        <v>22</v>
      </c>
      <c r="K98" s="19">
        <v>46</v>
      </c>
      <c r="L98" s="19">
        <v>49</v>
      </c>
      <c r="M98" s="19">
        <v>53</v>
      </c>
      <c r="N98" s="19">
        <v>56</v>
      </c>
      <c r="P98" s="19">
        <v>22</v>
      </c>
      <c r="Q98" s="19">
        <v>70</v>
      </c>
      <c r="R98" s="19">
        <v>70</v>
      </c>
      <c r="S98" s="19">
        <v>70</v>
      </c>
      <c r="T98" s="19">
        <v>80</v>
      </c>
      <c r="W98" s="19">
        <v>22</v>
      </c>
      <c r="X98" s="19" t="str">
        <f t="shared" si="0"/>
        <v>红</v>
      </c>
      <c r="Y98" s="19" t="str">
        <f t="shared" si="1"/>
        <v>粉</v>
      </c>
      <c r="Z98" s="19" t="str">
        <f t="shared" si="2"/>
        <v>粉</v>
      </c>
      <c r="AA98" s="19" t="str">
        <f t="shared" si="3"/>
        <v>粉</v>
      </c>
      <c r="AC98" s="19">
        <v>22</v>
      </c>
      <c r="AD98" s="19">
        <v>0</v>
      </c>
      <c r="AE98" s="19">
        <v>0</v>
      </c>
      <c r="AF98" s="19">
        <v>0</v>
      </c>
      <c r="AG98" s="19">
        <v>0</v>
      </c>
    </row>
    <row r="99" outlineLevel="1" spans="4:33">
      <c r="D99" s="19">
        <v>23</v>
      </c>
      <c r="E99" s="86" cm="1">
        <f ca="1" t="array" ref="E99">_xlfn.XLOOKUP(K99,[3]装备属性!$D$571:$D$870,[3]装备属性!$I$571:$I$870)*6+_xlfn.XLOOKUP(Q99&amp;X99,[3]装备属性!$E$62:$E$277&amp;[3]装备属性!$G$62:$G$277,[3]装备属性!$I$62:$I$277)*6+IFERROR(_xlfn.XLOOKUP(Q99&amp;X99,[3]装备属性!$D$309:$D$557&amp;[3]装备属性!$F$309:$F$557,[3]装备属性!$H$309:$H$557)*AD99*6,0)+VLOOKUP(E232,$V$209:$X$216,3,0)*Q232+100</f>
        <v>3208</v>
      </c>
      <c r="F99" s="86" cm="1">
        <f ca="1" t="array" ref="F99">_xlfn.XLOOKUP(L99,[3]装备属性!$D$571:$D$870,[3]装备属性!$I$571:$I$870)*6+_xlfn.XLOOKUP(R99&amp;Y99,[3]装备属性!$E$62:$E$277&amp;[3]装备属性!$G$62:$G$277,[3]装备属性!$I$62:$I$277)*6+IFERROR(_xlfn.XLOOKUP(R99&amp;Y99,[3]装备属性!$D$309:$D$557&amp;[3]装备属性!$F$309:$F$557,[3]装备属性!$H$309:$H$557)*AE99*6,0)+VLOOKUP(F232,$V$209:$X$216,3,0)*R232+100</f>
        <v>3412</v>
      </c>
      <c r="G99" s="86" cm="1">
        <f ca="1" t="array" ref="G99">_xlfn.XLOOKUP(M99,[3]装备属性!$D$571:$D$870,[3]装备属性!$I$571:$I$870)*6+_xlfn.XLOOKUP(S99&amp;Z99,[3]装备属性!$E$62:$E$277&amp;[3]装备属性!$G$62:$G$277,[3]装备属性!$I$62:$I$277)*6+IFERROR(_xlfn.XLOOKUP(S99&amp;Z99,[3]装备属性!$D$309:$D$557&amp;[3]装备属性!$F$309:$F$557,[3]装备属性!$H$309:$H$557)*AF99*6,0)+VLOOKUP(G232,$V$209:$X$216,3,0)*S232+100</f>
        <v>3592</v>
      </c>
      <c r="H99" s="86" cm="1">
        <f ca="1" t="array" ref="H99">_xlfn.XLOOKUP(N99,[3]装备属性!$D$571:$D$870,[3]装备属性!$I$571:$I$870)*6+_xlfn.XLOOKUP(T99&amp;AA99,[3]装备属性!$E$62:$E$277&amp;[3]装备属性!$G$62:$G$277,[3]装备属性!$I$62:$I$277)*6+IFERROR(_xlfn.XLOOKUP(T99&amp;AA99,[3]装备属性!$D$309:$D$557&amp;[3]装备属性!$F$309:$F$557,[3]装备属性!$H$309:$H$557)*AG99*6,0)+VLOOKUP(H232,$V$209:$X$216,3,0)*T232+100</f>
        <v>4126</v>
      </c>
      <c r="J99" s="19">
        <v>23</v>
      </c>
      <c r="K99" s="19">
        <v>47</v>
      </c>
      <c r="L99" s="19">
        <v>51</v>
      </c>
      <c r="M99" s="19">
        <v>54</v>
      </c>
      <c r="N99" s="19">
        <v>58</v>
      </c>
      <c r="P99" s="19">
        <v>23</v>
      </c>
      <c r="Q99" s="19">
        <v>70</v>
      </c>
      <c r="R99" s="19">
        <v>70</v>
      </c>
      <c r="S99" s="19">
        <v>70</v>
      </c>
      <c r="T99" s="19">
        <v>80</v>
      </c>
      <c r="W99" s="19">
        <v>23</v>
      </c>
      <c r="X99" s="19" t="str">
        <f t="shared" si="0"/>
        <v>粉</v>
      </c>
      <c r="Y99" s="19" t="str">
        <f t="shared" si="1"/>
        <v>粉</v>
      </c>
      <c r="Z99" s="19" t="str">
        <f t="shared" si="2"/>
        <v>粉</v>
      </c>
      <c r="AA99" s="19" t="str">
        <f t="shared" si="3"/>
        <v>粉</v>
      </c>
      <c r="AC99" s="19">
        <v>23</v>
      </c>
      <c r="AD99" s="19">
        <v>0</v>
      </c>
      <c r="AE99" s="19">
        <v>0</v>
      </c>
      <c r="AF99" s="19">
        <v>0</v>
      </c>
      <c r="AG99" s="19">
        <v>0</v>
      </c>
    </row>
    <row r="100" outlineLevel="1" spans="4:33">
      <c r="D100" s="19">
        <v>24</v>
      </c>
      <c r="E100" s="86" cm="1">
        <f ca="1" t="array" ref="E100">_xlfn.XLOOKUP(K100,[3]装备属性!$D$571:$D$870,[3]装备属性!$I$571:$I$870)*6+_xlfn.XLOOKUP(Q100&amp;X100,[3]装备属性!$E$62:$E$277&amp;[3]装备属性!$G$62:$G$277,[3]装备属性!$I$62:$I$277)*6+IFERROR(_xlfn.XLOOKUP(Q100&amp;X100,[3]装备属性!$D$309:$D$557&amp;[3]装备属性!$F$309:$F$557,[3]装备属性!$H$309:$H$557)*AD100*6,0)+VLOOKUP(E233,$V$209:$X$216,3,0)*Q233+100</f>
        <v>3256</v>
      </c>
      <c r="F100" s="86" cm="1">
        <f ca="1" t="array" ref="F100">_xlfn.XLOOKUP(L100,[3]装备属性!$D$571:$D$870,[3]装备属性!$I$571:$I$870)*6+_xlfn.XLOOKUP(R100&amp;Y100,[3]装备属性!$E$62:$E$277&amp;[3]装备属性!$G$62:$G$277,[3]装备属性!$I$62:$I$277)*6+IFERROR(_xlfn.XLOOKUP(R100&amp;Y100,[3]装备属性!$D$309:$D$557&amp;[3]装备属性!$F$309:$F$557,[3]装备属性!$H$309:$H$557)*AE100*6,0)+VLOOKUP(F233,$V$209:$X$216,3,0)*R233+100</f>
        <v>3472</v>
      </c>
      <c r="G100" s="86" cm="1">
        <f ca="1" t="array" ref="G100">_xlfn.XLOOKUP(M100,[3]装备属性!$D$571:$D$870,[3]装备属性!$I$571:$I$870)*6+_xlfn.XLOOKUP(S100&amp;Z100,[3]装备属性!$E$62:$E$277&amp;[3]装备属性!$G$62:$G$277,[3]装备属性!$I$62:$I$277)*6+IFERROR(_xlfn.XLOOKUP(S100&amp;Z100,[3]装备属性!$D$309:$D$557&amp;[3]装备属性!$F$309:$F$557,[3]装备属性!$H$309:$H$557)*AF100*6,0)+VLOOKUP(G233,$V$209:$X$216,3,0)*S233+100</f>
        <v>3652</v>
      </c>
      <c r="H100" s="86" cm="1">
        <f ca="1" t="array" ref="H100">_xlfn.XLOOKUP(N100,[3]装备属性!$D$571:$D$870,[3]装备属性!$I$571:$I$870)*6+_xlfn.XLOOKUP(T100&amp;AA100,[3]装备属性!$E$62:$E$277&amp;[3]装备属性!$G$62:$G$277,[3]装备属性!$I$62:$I$277)*6+IFERROR(_xlfn.XLOOKUP(T100&amp;AA100,[3]装备属性!$D$309:$D$557&amp;[3]装备属性!$F$309:$F$557,[3]装备属性!$H$309:$H$557)*AG100*6,0)+VLOOKUP(H233,$V$209:$X$216,3,0)*T233+100</f>
        <v>4186</v>
      </c>
      <c r="J100" s="19">
        <v>24</v>
      </c>
      <c r="K100" s="19">
        <v>48</v>
      </c>
      <c r="L100" s="19">
        <v>52</v>
      </c>
      <c r="M100" s="19">
        <v>55</v>
      </c>
      <c r="N100" s="19">
        <v>59</v>
      </c>
      <c r="P100" s="19">
        <v>24</v>
      </c>
      <c r="Q100" s="19">
        <v>70</v>
      </c>
      <c r="R100" s="19">
        <v>70</v>
      </c>
      <c r="S100" s="19">
        <v>70</v>
      </c>
      <c r="T100" s="19">
        <v>80</v>
      </c>
      <c r="W100" s="19">
        <v>24</v>
      </c>
      <c r="X100" s="19" t="str">
        <f t="shared" si="0"/>
        <v>粉</v>
      </c>
      <c r="Y100" s="19" t="str">
        <f t="shared" si="1"/>
        <v>粉</v>
      </c>
      <c r="Z100" s="19" t="str">
        <f t="shared" si="2"/>
        <v>粉</v>
      </c>
      <c r="AA100" s="19" t="str">
        <f t="shared" si="3"/>
        <v>粉</v>
      </c>
      <c r="AC100" s="19">
        <v>24</v>
      </c>
      <c r="AD100" s="19">
        <v>0</v>
      </c>
      <c r="AE100" s="19">
        <v>0</v>
      </c>
      <c r="AF100" s="19">
        <v>0</v>
      </c>
      <c r="AG100" s="19">
        <v>0</v>
      </c>
    </row>
    <row r="101" outlineLevel="1" spans="4:33">
      <c r="D101" s="19">
        <v>25</v>
      </c>
      <c r="E101" s="86" cm="1">
        <f ca="1" t="array" ref="E101">_xlfn.XLOOKUP(K101,[3]装备属性!$D$571:$D$870,[3]装备属性!$I$571:$I$870)*6+_xlfn.XLOOKUP(Q101&amp;X101,[3]装备属性!$E$62:$E$277&amp;[3]装备属性!$G$62:$G$277,[3]装备属性!$I$62:$I$277)*6+IFERROR(_xlfn.XLOOKUP(Q101&amp;X101,[3]装备属性!$D$309:$D$557&amp;[3]装备属性!$F$309:$F$557,[3]装备属性!$H$309:$H$557)*AD101*6,0)+VLOOKUP(E234,$V$209:$X$216,3,0)*Q234+100</f>
        <v>3304</v>
      </c>
      <c r="F101" s="86" cm="1">
        <f ca="1" t="array" ref="F101">_xlfn.XLOOKUP(L101,[3]装备属性!$D$571:$D$870,[3]装备属性!$I$571:$I$870)*6+_xlfn.XLOOKUP(R101&amp;Y101,[3]装备属性!$E$62:$E$277&amp;[3]装备属性!$G$62:$G$277,[3]装备属性!$I$62:$I$277)*6+IFERROR(_xlfn.XLOOKUP(R101&amp;Y101,[3]装备属性!$D$309:$D$557&amp;[3]装备属性!$F$309:$F$557,[3]装备属性!$H$309:$H$557)*AE101*6,0)+VLOOKUP(F234,$V$209:$X$216,3,0)*R234+100</f>
        <v>3532</v>
      </c>
      <c r="G101" s="86" cm="1">
        <f ca="1" t="array" ref="G101">_xlfn.XLOOKUP(M101,[3]装备属性!$D$571:$D$870,[3]装备属性!$I$571:$I$870)*6+_xlfn.XLOOKUP(S101&amp;Z101,[3]装备属性!$E$62:$E$277&amp;[3]装备属性!$G$62:$G$277,[3]装备属性!$I$62:$I$277)*6+IFERROR(_xlfn.XLOOKUP(S101&amp;Z101,[3]装备属性!$D$309:$D$557&amp;[3]装备属性!$F$309:$F$557,[3]装备属性!$H$309:$H$557)*AF101*6,0)+VLOOKUP(G234,$V$209:$X$216,3,0)*S234+100</f>
        <v>3712</v>
      </c>
      <c r="H101" s="86" cm="1">
        <f ca="1" t="array" ref="H101">_xlfn.XLOOKUP(N101,[3]装备属性!$D$571:$D$870,[3]装备属性!$I$571:$I$870)*6+_xlfn.XLOOKUP(T101&amp;AA101,[3]装备属性!$E$62:$E$277&amp;[3]装备属性!$G$62:$G$277,[3]装备属性!$I$62:$I$277)*6+IFERROR(_xlfn.XLOOKUP(T101&amp;AA101,[3]装备属性!$D$309:$D$557&amp;[3]装备属性!$F$309:$F$557,[3]装备属性!$H$309:$H$557)*AG101*6,0)+VLOOKUP(H234,$V$209:$X$216,3,0)*T234+100</f>
        <v>4246</v>
      </c>
      <c r="J101" s="19">
        <v>25</v>
      </c>
      <c r="K101" s="19">
        <v>49</v>
      </c>
      <c r="L101" s="19">
        <v>53</v>
      </c>
      <c r="M101" s="19">
        <v>56</v>
      </c>
      <c r="N101" s="19">
        <v>60</v>
      </c>
      <c r="P101" s="19">
        <v>25</v>
      </c>
      <c r="Q101" s="19">
        <v>70</v>
      </c>
      <c r="R101" s="19">
        <v>70</v>
      </c>
      <c r="S101" s="19">
        <v>70</v>
      </c>
      <c r="T101" s="19">
        <v>80</v>
      </c>
      <c r="W101" s="19">
        <v>25</v>
      </c>
      <c r="X101" s="19" t="str">
        <f t="shared" si="0"/>
        <v>粉</v>
      </c>
      <c r="Y101" s="19" t="str">
        <f t="shared" si="1"/>
        <v>粉</v>
      </c>
      <c r="Z101" s="19" t="str">
        <f t="shared" si="2"/>
        <v>粉</v>
      </c>
      <c r="AA101" s="19" t="str">
        <f t="shared" si="3"/>
        <v>粉</v>
      </c>
      <c r="AC101" s="19">
        <v>25</v>
      </c>
      <c r="AD101" s="19">
        <v>0</v>
      </c>
      <c r="AE101" s="19">
        <v>0</v>
      </c>
      <c r="AF101" s="19">
        <v>0</v>
      </c>
      <c r="AG101" s="19">
        <v>0</v>
      </c>
    </row>
    <row r="102" outlineLevel="1" spans="4:33">
      <c r="D102" s="19">
        <v>26</v>
      </c>
      <c r="E102" s="86" cm="1">
        <f ca="1" t="array" ref="E102">_xlfn.XLOOKUP(K102,[3]装备属性!$D$571:$D$870,[3]装备属性!$I$571:$I$870)*6+_xlfn.XLOOKUP(Q102&amp;X102,[3]装备属性!$E$62:$E$277&amp;[3]装备属性!$G$62:$G$277,[3]装备属性!$I$62:$I$277)*6+IFERROR(_xlfn.XLOOKUP(Q102&amp;X102,[3]装备属性!$D$309:$D$557&amp;[3]装备属性!$F$309:$F$557,[3]装备属性!$H$309:$H$557)*AD102*6,0)+VLOOKUP(E235,$V$209:$X$216,3,0)*Q235+100</f>
        <v>3352</v>
      </c>
      <c r="F102" s="86" cm="1">
        <f ca="1" t="array" ref="F102">_xlfn.XLOOKUP(L102,[3]装备属性!$D$571:$D$870,[3]装备属性!$I$571:$I$870)*6+_xlfn.XLOOKUP(R102&amp;Y102,[3]装备属性!$E$62:$E$277&amp;[3]装备属性!$G$62:$G$277,[3]装备属性!$I$62:$I$277)*6+IFERROR(_xlfn.XLOOKUP(R102&amp;Y102,[3]装备属性!$D$309:$D$557&amp;[3]装备属性!$F$309:$F$557,[3]装备属性!$H$309:$H$557)*AE102*6,0)+VLOOKUP(F235,$V$209:$X$216,3,0)*R235+100</f>
        <v>3592</v>
      </c>
      <c r="G102" s="86" cm="1">
        <f ca="1" t="array" ref="G102">_xlfn.XLOOKUP(M102,[3]装备属性!$D$571:$D$870,[3]装备属性!$I$571:$I$870)*6+_xlfn.XLOOKUP(S102&amp;Z102,[3]装备属性!$E$62:$E$277&amp;[3]装备属性!$G$62:$G$277,[3]装备属性!$I$62:$I$277)*6+IFERROR(_xlfn.XLOOKUP(S102&amp;Z102,[3]装备属性!$D$309:$D$557&amp;[3]装备属性!$F$309:$F$557,[3]装备属性!$H$309:$H$557)*AF102*6,0)+VLOOKUP(G235,$V$209:$X$216,3,0)*S235+100</f>
        <v>3772</v>
      </c>
      <c r="H102" s="86" cm="1">
        <f ca="1" t="array" ref="H102">_xlfn.XLOOKUP(N102,[3]装备属性!$D$571:$D$870,[3]装备属性!$I$571:$I$870)*6+_xlfn.XLOOKUP(T102&amp;AA102,[3]装备属性!$E$62:$E$277&amp;[3]装备属性!$G$62:$G$277,[3]装备属性!$I$62:$I$277)*6+IFERROR(_xlfn.XLOOKUP(T102&amp;AA102,[3]装备属性!$D$309:$D$557&amp;[3]装备属性!$F$309:$F$557,[3]装备属性!$H$309:$H$557)*AG102*6,0)+VLOOKUP(H235,$V$209:$X$216,3,0)*T235+100</f>
        <v>4306</v>
      </c>
      <c r="J102" s="19">
        <v>26</v>
      </c>
      <c r="K102" s="19">
        <v>50</v>
      </c>
      <c r="L102" s="19">
        <v>54</v>
      </c>
      <c r="M102" s="19">
        <v>57</v>
      </c>
      <c r="N102" s="19">
        <v>61</v>
      </c>
      <c r="P102" s="19">
        <v>26</v>
      </c>
      <c r="Q102" s="19">
        <v>70</v>
      </c>
      <c r="R102" s="19">
        <v>70</v>
      </c>
      <c r="S102" s="19">
        <v>70</v>
      </c>
      <c r="T102" s="19">
        <v>80</v>
      </c>
      <c r="W102" s="19">
        <v>26</v>
      </c>
      <c r="X102" s="19" t="str">
        <f t="shared" si="0"/>
        <v>粉</v>
      </c>
      <c r="Y102" s="19" t="str">
        <f t="shared" si="1"/>
        <v>粉</v>
      </c>
      <c r="Z102" s="19" t="str">
        <f t="shared" si="2"/>
        <v>粉</v>
      </c>
      <c r="AA102" s="19" t="str">
        <f t="shared" si="3"/>
        <v>粉</v>
      </c>
      <c r="AC102" s="19">
        <v>26</v>
      </c>
      <c r="AD102" s="19">
        <v>0</v>
      </c>
      <c r="AE102" s="19">
        <v>0</v>
      </c>
      <c r="AF102" s="19">
        <v>0</v>
      </c>
      <c r="AG102" s="19">
        <v>0</v>
      </c>
    </row>
    <row r="103" outlineLevel="1" spans="4:33">
      <c r="D103" s="19">
        <v>27</v>
      </c>
      <c r="E103" s="86" cm="1">
        <f ca="1" t="array" ref="E103">_xlfn.XLOOKUP(K103,[3]装备属性!$D$571:$D$870,[3]装备属性!$I$571:$I$870)*6+_xlfn.XLOOKUP(Q103&amp;X103,[3]装备属性!$E$62:$E$277&amp;[3]装备属性!$G$62:$G$277,[3]装备属性!$I$62:$I$277)*6+IFERROR(_xlfn.XLOOKUP(Q103&amp;X103,[3]装备属性!$D$309:$D$557&amp;[3]装备属性!$F$309:$F$557,[3]装备属性!$H$309:$H$557)*AD103*6,0)+VLOOKUP(E236,$V$209:$X$216,3,0)*Q236+100</f>
        <v>3412</v>
      </c>
      <c r="F103" s="86" cm="1">
        <f ca="1" t="array" ref="F103">_xlfn.XLOOKUP(L103,[3]装备属性!$D$571:$D$870,[3]装备属性!$I$571:$I$870)*6+_xlfn.XLOOKUP(R103&amp;Y103,[3]装备属性!$E$62:$E$277&amp;[3]装备属性!$G$62:$G$277,[3]装备属性!$I$62:$I$277)*6+IFERROR(_xlfn.XLOOKUP(R103&amp;Y103,[3]装备属性!$D$309:$D$557&amp;[3]装备属性!$F$309:$F$557,[3]装备属性!$H$309:$H$557)*AE103*6,0)+VLOOKUP(F236,$V$209:$X$216,3,0)*R236+100</f>
        <v>3652</v>
      </c>
      <c r="G103" s="86" cm="1">
        <f ca="1" t="array" ref="G103">_xlfn.XLOOKUP(M103,[3]装备属性!$D$571:$D$870,[3]装备属性!$I$571:$I$870)*6+_xlfn.XLOOKUP(S103&amp;Z103,[3]装备属性!$E$62:$E$277&amp;[3]装备属性!$G$62:$G$277,[3]装备属性!$I$62:$I$277)*6+IFERROR(_xlfn.XLOOKUP(S103&amp;Z103,[3]装备属性!$D$309:$D$557&amp;[3]装备属性!$F$309:$F$557,[3]装备属性!$H$309:$H$557)*AF103*6,0)+VLOOKUP(G236,$V$209:$X$216,3,0)*S236+100</f>
        <v>3892</v>
      </c>
      <c r="H103" s="86" cm="1">
        <f ca="1" t="array" ref="H103">_xlfn.XLOOKUP(N103,[3]装备属性!$D$571:$D$870,[3]装备属性!$I$571:$I$870)*6+_xlfn.XLOOKUP(T103&amp;AA103,[3]装备属性!$E$62:$E$277&amp;[3]装备属性!$G$62:$G$277,[3]装备属性!$I$62:$I$277)*6+IFERROR(_xlfn.XLOOKUP(T103&amp;AA103,[3]装备属性!$D$309:$D$557&amp;[3]装备属性!$F$309:$F$557,[3]装备属性!$H$309:$H$557)*AG103*6,0)+VLOOKUP(H236,$V$209:$X$216,3,0)*T236+100</f>
        <v>4366</v>
      </c>
      <c r="J103" s="19">
        <v>27</v>
      </c>
      <c r="K103" s="19">
        <v>51</v>
      </c>
      <c r="L103" s="19">
        <v>55</v>
      </c>
      <c r="M103" s="19">
        <v>59</v>
      </c>
      <c r="N103" s="19">
        <v>62</v>
      </c>
      <c r="P103" s="19">
        <v>27</v>
      </c>
      <c r="Q103" s="19">
        <v>70</v>
      </c>
      <c r="R103" s="19">
        <v>70</v>
      </c>
      <c r="S103" s="19">
        <v>70</v>
      </c>
      <c r="T103" s="19">
        <v>80</v>
      </c>
      <c r="W103" s="19">
        <v>27</v>
      </c>
      <c r="X103" s="19" t="str">
        <f t="shared" si="0"/>
        <v>粉</v>
      </c>
      <c r="Y103" s="19" t="str">
        <f t="shared" si="1"/>
        <v>粉</v>
      </c>
      <c r="Z103" s="19" t="str">
        <f t="shared" si="2"/>
        <v>粉</v>
      </c>
      <c r="AA103" s="19" t="str">
        <f t="shared" si="3"/>
        <v>粉</v>
      </c>
      <c r="AC103" s="19">
        <v>27</v>
      </c>
      <c r="AD103" s="19">
        <v>0</v>
      </c>
      <c r="AE103" s="19">
        <v>0</v>
      </c>
      <c r="AF103" s="19">
        <v>0</v>
      </c>
      <c r="AG103" s="19">
        <v>0</v>
      </c>
    </row>
    <row r="104" outlineLevel="1" spans="4:33">
      <c r="D104" s="19">
        <v>28</v>
      </c>
      <c r="E104" s="86" cm="1">
        <f ca="1" t="array" ref="E104">_xlfn.XLOOKUP(K104,[3]装备属性!$D$571:$D$870,[3]装备属性!$I$571:$I$870)*6+_xlfn.XLOOKUP(Q104&amp;X104,[3]装备属性!$E$62:$E$277&amp;[3]装备属性!$G$62:$G$277,[3]装备属性!$I$62:$I$277)*6+IFERROR(_xlfn.XLOOKUP(Q104&amp;X104,[3]装备属性!$D$309:$D$557&amp;[3]装备属性!$F$309:$F$557,[3]装备属性!$H$309:$H$557)*AD104*6,0)+VLOOKUP(E237,$V$209:$X$216,3,0)*Q237+100</f>
        <v>3472</v>
      </c>
      <c r="F104" s="86" cm="1">
        <f ca="1" t="array" ref="F104">_xlfn.XLOOKUP(L104,[3]装备属性!$D$571:$D$870,[3]装备属性!$I$571:$I$870)*6+_xlfn.XLOOKUP(R104&amp;Y104,[3]装备属性!$E$62:$E$277&amp;[3]装备属性!$G$62:$G$277,[3]装备属性!$I$62:$I$277)*6+IFERROR(_xlfn.XLOOKUP(R104&amp;Y104,[3]装备属性!$D$309:$D$557&amp;[3]装备属性!$F$309:$F$557,[3]装备属性!$H$309:$H$557)*AE104*6,0)+VLOOKUP(F237,$V$209:$X$216,3,0)*R237+100</f>
        <v>3712</v>
      </c>
      <c r="G104" s="86" cm="1">
        <f ca="1" t="array" ref="G104">_xlfn.XLOOKUP(M104,[3]装备属性!$D$571:$D$870,[3]装备属性!$I$571:$I$870)*6+_xlfn.XLOOKUP(S104&amp;Z104,[3]装备属性!$E$62:$E$277&amp;[3]装备属性!$G$62:$G$277,[3]装备属性!$I$62:$I$277)*6+IFERROR(_xlfn.XLOOKUP(S104&amp;Z104,[3]装备属性!$D$309:$D$557&amp;[3]装备属性!$F$309:$F$557,[3]装备属性!$H$309:$H$557)*AF104*6,0)+VLOOKUP(G237,$V$209:$X$216,3,0)*S237+100</f>
        <v>4042</v>
      </c>
      <c r="H104" s="86" cm="1">
        <f ca="1" t="array" ref="H104">_xlfn.XLOOKUP(N104,[3]装备属性!$D$571:$D$870,[3]装备属性!$I$571:$I$870)*6+_xlfn.XLOOKUP(T104&amp;AA104,[3]装备属性!$E$62:$E$277&amp;[3]装备属性!$G$62:$G$277,[3]装备属性!$I$62:$I$277)*6+IFERROR(_xlfn.XLOOKUP(T104&amp;AA104,[3]装备属性!$D$309:$D$557&amp;[3]装备属性!$F$309:$F$557,[3]装备属性!$H$309:$H$557)*AG104*6,0)+VLOOKUP(H237,$V$209:$X$216,3,0)*T237+100</f>
        <v>4726</v>
      </c>
      <c r="J104" s="19">
        <v>28</v>
      </c>
      <c r="K104" s="19">
        <v>52</v>
      </c>
      <c r="L104" s="19">
        <v>56</v>
      </c>
      <c r="M104" s="19">
        <v>60</v>
      </c>
      <c r="N104" s="19">
        <v>64</v>
      </c>
      <c r="P104" s="19">
        <v>28</v>
      </c>
      <c r="Q104" s="19">
        <v>70</v>
      </c>
      <c r="R104" s="19">
        <v>70</v>
      </c>
      <c r="S104" s="19">
        <v>70</v>
      </c>
      <c r="T104" s="19">
        <v>90</v>
      </c>
      <c r="W104" s="19">
        <v>28</v>
      </c>
      <c r="X104" s="19" t="str">
        <f t="shared" si="0"/>
        <v>粉</v>
      </c>
      <c r="Y104" s="19" t="str">
        <f t="shared" si="1"/>
        <v>粉</v>
      </c>
      <c r="Z104" s="19" t="str">
        <f t="shared" si="2"/>
        <v>粉</v>
      </c>
      <c r="AA104" s="19" t="str">
        <f t="shared" si="3"/>
        <v>粉</v>
      </c>
      <c r="AC104" s="19">
        <v>28</v>
      </c>
      <c r="AD104" s="19">
        <v>0</v>
      </c>
      <c r="AE104" s="19">
        <v>0</v>
      </c>
      <c r="AF104" s="19">
        <v>0</v>
      </c>
      <c r="AG104" s="19">
        <v>0</v>
      </c>
    </row>
    <row r="105" outlineLevel="1" spans="4:33">
      <c r="D105" s="19">
        <v>29</v>
      </c>
      <c r="E105" s="86" cm="1">
        <f ca="1" t="array" ref="E105">_xlfn.XLOOKUP(K105,[3]装备属性!$D$571:$D$870,[3]装备属性!$I$571:$I$870)*6+_xlfn.XLOOKUP(Q105&amp;X105,[3]装备属性!$E$62:$E$277&amp;[3]装备属性!$G$62:$G$277,[3]装备属性!$I$62:$I$277)*6+IFERROR(_xlfn.XLOOKUP(Q105&amp;X105,[3]装备属性!$D$309:$D$557&amp;[3]装备属性!$F$309:$F$557,[3]装备属性!$H$309:$H$557)*AD105*6,0)+VLOOKUP(E238,$V$209:$X$216,3,0)*Q238+100</f>
        <v>3472</v>
      </c>
      <c r="F105" s="86" cm="1">
        <f ca="1" t="array" ref="F105">_xlfn.XLOOKUP(L105,[3]装备属性!$D$571:$D$870,[3]装备属性!$I$571:$I$870)*6+_xlfn.XLOOKUP(R105&amp;Y105,[3]装备属性!$E$62:$E$277&amp;[3]装备属性!$G$62:$G$277,[3]装备属性!$I$62:$I$277)*6+IFERROR(_xlfn.XLOOKUP(R105&amp;Y105,[3]装备属性!$D$309:$D$557&amp;[3]装备属性!$F$309:$F$557,[3]装备属性!$H$309:$H$557)*AE105*6,0)+VLOOKUP(F238,$V$209:$X$216,3,0)*R238+100</f>
        <v>4066</v>
      </c>
      <c r="G105" s="86" cm="1">
        <f ca="1" t="array" ref="G105">_xlfn.XLOOKUP(M105,[3]装备属性!$D$571:$D$870,[3]装备属性!$I$571:$I$870)*6+_xlfn.XLOOKUP(S105&amp;Z105,[3]装备属性!$E$62:$E$277&amp;[3]装备属性!$G$62:$G$277,[3]装备属性!$I$62:$I$277)*6+IFERROR(_xlfn.XLOOKUP(S105&amp;Z105,[3]装备属性!$D$309:$D$557&amp;[3]装备属性!$F$309:$F$557,[3]装备属性!$H$309:$H$557)*AF105*6,0)+VLOOKUP(G238,$V$209:$X$216,3,0)*S238+100</f>
        <v>4306</v>
      </c>
      <c r="H105" s="86" cm="1">
        <f ca="1" t="array" ref="H105">_xlfn.XLOOKUP(N105,[3]装备属性!$D$571:$D$870,[3]装备属性!$I$571:$I$870)*6+_xlfn.XLOOKUP(T105&amp;AA105,[3]装备属性!$E$62:$E$277&amp;[3]装备属性!$G$62:$G$277,[3]装备属性!$I$62:$I$277)*6+IFERROR(_xlfn.XLOOKUP(T105&amp;AA105,[3]装备属性!$D$309:$D$557&amp;[3]装备属性!$F$309:$F$557,[3]装备属性!$H$309:$H$557)*AG105*6,0)+VLOOKUP(H238,$V$209:$X$216,3,0)*T238+100</f>
        <v>4786</v>
      </c>
      <c r="J105" s="19">
        <v>29</v>
      </c>
      <c r="K105" s="19">
        <v>52</v>
      </c>
      <c r="L105" s="19">
        <v>57</v>
      </c>
      <c r="M105" s="19">
        <v>61</v>
      </c>
      <c r="N105" s="19">
        <v>65</v>
      </c>
      <c r="P105" s="19">
        <v>29</v>
      </c>
      <c r="Q105" s="19">
        <v>70</v>
      </c>
      <c r="R105" s="19">
        <v>80</v>
      </c>
      <c r="S105" s="19">
        <v>80</v>
      </c>
      <c r="T105" s="19">
        <v>90</v>
      </c>
      <c r="W105" s="19">
        <v>29</v>
      </c>
      <c r="X105" s="19" t="str">
        <f t="shared" si="0"/>
        <v>粉</v>
      </c>
      <c r="Y105" s="19" t="str">
        <f t="shared" si="1"/>
        <v>粉</v>
      </c>
      <c r="Z105" s="19" t="str">
        <f t="shared" si="2"/>
        <v>粉</v>
      </c>
      <c r="AA105" s="19" t="str">
        <f t="shared" si="3"/>
        <v>粉</v>
      </c>
      <c r="AC105" s="19">
        <v>29</v>
      </c>
      <c r="AD105" s="19">
        <v>0</v>
      </c>
      <c r="AE105" s="19">
        <v>0</v>
      </c>
      <c r="AF105" s="19">
        <v>0</v>
      </c>
      <c r="AG105" s="19">
        <v>0</v>
      </c>
    </row>
    <row r="106" outlineLevel="1" spans="4:33">
      <c r="D106" s="19">
        <v>30</v>
      </c>
      <c r="E106" s="86" cm="1">
        <f ca="1" t="array" ref="E106">_xlfn.XLOOKUP(K106,[3]装备属性!$D$571:$D$870,[3]装备属性!$I$571:$I$870)*6+_xlfn.XLOOKUP(Q106&amp;X106,[3]装备属性!$E$62:$E$277&amp;[3]装备属性!$G$62:$G$277,[3]装备属性!$I$62:$I$277)*6+IFERROR(_xlfn.XLOOKUP(Q106&amp;X106,[3]装备属性!$D$309:$D$557&amp;[3]装备属性!$F$309:$F$557,[3]装备属性!$H$309:$H$557)*AD106*6,0)+VLOOKUP(E239,$V$209:$X$216,3,0)*Q239+100</f>
        <v>3532</v>
      </c>
      <c r="F106" s="86" cm="1">
        <f ca="1" t="array" ref="F106">_xlfn.XLOOKUP(L106,[3]装备属性!$D$571:$D$870,[3]装备属性!$I$571:$I$870)*6+_xlfn.XLOOKUP(R106&amp;Y106,[3]装备属性!$E$62:$E$277&amp;[3]装备属性!$G$62:$G$277,[3]装备属性!$I$62:$I$277)*6+IFERROR(_xlfn.XLOOKUP(R106&amp;Y106,[3]装备属性!$D$309:$D$557&amp;[3]装备属性!$F$309:$F$557,[3]装备属性!$H$309:$H$557)*AE106*6,0)+VLOOKUP(F239,$V$209:$X$216,3,0)*R239+100</f>
        <v>4126</v>
      </c>
      <c r="G106" s="86" cm="1">
        <f ca="1" t="array" ref="G106">_xlfn.XLOOKUP(M106,[3]装备属性!$D$571:$D$870,[3]装备属性!$I$571:$I$870)*6+_xlfn.XLOOKUP(S106&amp;Z106,[3]装备属性!$E$62:$E$277&amp;[3]装备属性!$G$62:$G$277,[3]装备属性!$I$62:$I$277)*6+IFERROR(_xlfn.XLOOKUP(S106&amp;Z106,[3]装备属性!$D$309:$D$557&amp;[3]装备属性!$F$309:$F$557,[3]装备属性!$H$309:$H$557)*AF106*6,0)+VLOOKUP(G239,$V$209:$X$216,3,0)*S239+100</f>
        <v>4366</v>
      </c>
      <c r="H106" s="86" cm="1">
        <f ca="1" t="array" ref="H106">_xlfn.XLOOKUP(N106,[3]装备属性!$D$571:$D$870,[3]装备属性!$I$571:$I$870)*6+_xlfn.XLOOKUP(T106&amp;AA106,[3]装备属性!$E$62:$E$277&amp;[3]装备属性!$G$62:$G$277,[3]装备属性!$I$62:$I$277)*6+IFERROR(_xlfn.XLOOKUP(T106&amp;AA106,[3]装备属性!$D$309:$D$557&amp;[3]装备属性!$F$309:$F$557,[3]装备属性!$H$309:$H$557)*AG106*6,0)+VLOOKUP(H239,$V$209:$X$216,3,0)*T239+100</f>
        <v>4846</v>
      </c>
      <c r="J106" s="19">
        <v>30</v>
      </c>
      <c r="K106" s="19">
        <v>53</v>
      </c>
      <c r="L106" s="19">
        <v>58</v>
      </c>
      <c r="M106" s="19">
        <v>62</v>
      </c>
      <c r="N106" s="19">
        <v>66</v>
      </c>
      <c r="P106" s="19">
        <v>30</v>
      </c>
      <c r="Q106" s="19">
        <v>70</v>
      </c>
      <c r="R106" s="19">
        <v>80</v>
      </c>
      <c r="S106" s="19">
        <v>80</v>
      </c>
      <c r="T106" s="19">
        <v>90</v>
      </c>
      <c r="W106" s="19">
        <v>30</v>
      </c>
      <c r="X106" s="19" t="str">
        <f t="shared" si="0"/>
        <v>粉</v>
      </c>
      <c r="Y106" s="19" t="str">
        <f t="shared" si="1"/>
        <v>粉</v>
      </c>
      <c r="Z106" s="19" t="str">
        <f t="shared" si="2"/>
        <v>粉</v>
      </c>
      <c r="AA106" s="19" t="str">
        <f t="shared" si="3"/>
        <v>粉</v>
      </c>
      <c r="AC106" s="19">
        <v>30</v>
      </c>
      <c r="AD106" s="19">
        <v>0</v>
      </c>
      <c r="AE106" s="19">
        <v>0</v>
      </c>
      <c r="AF106" s="19">
        <v>0</v>
      </c>
      <c r="AG106" s="19">
        <v>0</v>
      </c>
    </row>
    <row r="107" outlineLevel="1" spans="4:33">
      <c r="D107" s="19">
        <v>31</v>
      </c>
      <c r="E107" s="86" cm="1">
        <f ca="1" t="array" ref="E107">_xlfn.XLOOKUP(K107,[3]装备属性!$D$571:$D$870,[3]装备属性!$I$571:$I$870)*6+_xlfn.XLOOKUP(Q107&amp;X107,[3]装备属性!$E$62:$E$277&amp;[3]装备属性!$G$62:$G$277,[3]装备属性!$I$62:$I$277)*6+IFERROR(_xlfn.XLOOKUP(Q107&amp;X107,[3]装备属性!$D$309:$D$557&amp;[3]装备属性!$F$309:$F$557,[3]装备属性!$H$309:$H$557)*AD107*6,0)+VLOOKUP(E240,$V$209:$X$216,3,0)*Q240+100</f>
        <v>3592</v>
      </c>
      <c r="F107" s="86" cm="1">
        <f ca="1" t="array" ref="F107">_xlfn.XLOOKUP(L107,[3]装备属性!$D$571:$D$870,[3]装备属性!$I$571:$I$870)*6+_xlfn.XLOOKUP(R107&amp;Y107,[3]装备属性!$E$62:$E$277&amp;[3]装备属性!$G$62:$G$277,[3]装备属性!$I$62:$I$277)*6+IFERROR(_xlfn.XLOOKUP(R107&amp;Y107,[3]装备属性!$D$309:$D$557&amp;[3]装备属性!$F$309:$F$557,[3]装备属性!$H$309:$H$557)*AE107*6,0)+VLOOKUP(F240,$V$209:$X$216,3,0)*R240+100</f>
        <v>4186</v>
      </c>
      <c r="G107" s="86" cm="1">
        <f ca="1" t="array" ref="G107">_xlfn.XLOOKUP(M107,[3]装备属性!$D$571:$D$870,[3]装备属性!$I$571:$I$870)*6+_xlfn.XLOOKUP(S107&amp;Z107,[3]装备属性!$E$62:$E$277&amp;[3]装备属性!$G$62:$G$277,[3]装备属性!$I$62:$I$277)*6+IFERROR(_xlfn.XLOOKUP(S107&amp;Z107,[3]装备属性!$D$309:$D$557&amp;[3]装备属性!$F$309:$F$557,[3]装备属性!$H$309:$H$557)*AF107*6,0)+VLOOKUP(G240,$V$209:$X$216,3,0)*S240+100</f>
        <v>4426</v>
      </c>
      <c r="H107" s="86" cm="1">
        <f ca="1" t="array" ref="H107">_xlfn.XLOOKUP(N107,[3]装备属性!$D$571:$D$870,[3]装备属性!$I$571:$I$870)*6+_xlfn.XLOOKUP(T107&amp;AA107,[3]装备属性!$E$62:$E$277&amp;[3]装备属性!$G$62:$G$277,[3]装备属性!$I$62:$I$277)*6+IFERROR(_xlfn.XLOOKUP(T107&amp;AA107,[3]装备属性!$D$309:$D$557&amp;[3]装备属性!$F$309:$F$557,[3]装备属性!$H$309:$H$557)*AG107*6,0)+VLOOKUP(H240,$V$209:$X$216,3,0)*T240+100</f>
        <v>4906</v>
      </c>
      <c r="J107" s="19">
        <v>31</v>
      </c>
      <c r="K107" s="19">
        <v>54</v>
      </c>
      <c r="L107" s="19">
        <v>59</v>
      </c>
      <c r="M107" s="19">
        <v>63</v>
      </c>
      <c r="N107" s="19">
        <v>67</v>
      </c>
      <c r="P107" s="19">
        <v>31</v>
      </c>
      <c r="Q107" s="19">
        <v>70</v>
      </c>
      <c r="R107" s="19">
        <v>80</v>
      </c>
      <c r="S107" s="19">
        <v>80</v>
      </c>
      <c r="T107" s="19">
        <v>90</v>
      </c>
      <c r="W107" s="19">
        <v>31</v>
      </c>
      <c r="X107" s="19" t="str">
        <f t="shared" si="0"/>
        <v>粉</v>
      </c>
      <c r="Y107" s="19" t="str">
        <f t="shared" si="1"/>
        <v>粉</v>
      </c>
      <c r="Z107" s="19" t="str">
        <f t="shared" si="2"/>
        <v>粉</v>
      </c>
      <c r="AA107" s="19" t="str">
        <f t="shared" si="3"/>
        <v>粉</v>
      </c>
      <c r="AC107" s="19">
        <v>31</v>
      </c>
      <c r="AD107" s="19">
        <v>0</v>
      </c>
      <c r="AE107" s="19">
        <v>0</v>
      </c>
      <c r="AF107" s="19">
        <v>0</v>
      </c>
      <c r="AG107" s="19">
        <v>0</v>
      </c>
    </row>
    <row r="108" outlineLevel="1" spans="4:33">
      <c r="D108" s="19">
        <v>32</v>
      </c>
      <c r="E108" s="86" cm="1">
        <f ca="1" t="array" ref="E108">_xlfn.XLOOKUP(K108,[3]装备属性!$D$571:$D$870,[3]装备属性!$I$571:$I$870)*6+_xlfn.XLOOKUP(Q108&amp;X108,[3]装备属性!$E$62:$E$277&amp;[3]装备属性!$G$62:$G$277,[3]装备属性!$I$62:$I$277)*6+IFERROR(_xlfn.XLOOKUP(Q108&amp;X108,[3]装备属性!$D$309:$D$557&amp;[3]装备属性!$F$309:$F$557,[3]装备属性!$H$309:$H$557)*AD108*6,0)+VLOOKUP(E241,$V$209:$X$216,3,0)*Q241+100</f>
        <v>3652</v>
      </c>
      <c r="F108" s="86" cm="1">
        <f ca="1" t="array" ref="F108">_xlfn.XLOOKUP(L108,[3]装备属性!$D$571:$D$870,[3]装备属性!$I$571:$I$870)*6+_xlfn.XLOOKUP(R108&amp;Y108,[3]装备属性!$E$62:$E$277&amp;[3]装备属性!$G$62:$G$277,[3]装备属性!$I$62:$I$277)*6+IFERROR(_xlfn.XLOOKUP(R108&amp;Y108,[3]装备属性!$D$309:$D$557&amp;[3]装备属性!$F$309:$F$557,[3]装备属性!$H$309:$H$557)*AE108*6,0)+VLOOKUP(F241,$V$209:$X$216,3,0)*R241+100</f>
        <v>4246</v>
      </c>
      <c r="G108" s="86" cm="1">
        <f ca="1" t="array" ref="G108">_xlfn.XLOOKUP(M108,[3]装备属性!$D$571:$D$870,[3]装备属性!$I$571:$I$870)*6+_xlfn.XLOOKUP(S108&amp;Z108,[3]装备属性!$E$62:$E$277&amp;[3]装备属性!$G$62:$G$277,[3]装备属性!$I$62:$I$277)*6+IFERROR(_xlfn.XLOOKUP(S108&amp;Z108,[3]装备属性!$D$309:$D$557&amp;[3]装备属性!$F$309:$F$557,[3]装备属性!$H$309:$H$557)*AF108*6,0)+VLOOKUP(G241,$V$209:$X$216,3,0)*S241+100</f>
        <v>4486</v>
      </c>
      <c r="H108" s="86" cm="1">
        <f ca="1" t="array" ref="H108">_xlfn.XLOOKUP(N108,[3]装备属性!$D$571:$D$870,[3]装备属性!$I$571:$I$870)*6+_xlfn.XLOOKUP(T108&amp;AA108,[3]装备属性!$E$62:$E$277&amp;[3]装备属性!$G$62:$G$277,[3]装备属性!$I$62:$I$277)*6+IFERROR(_xlfn.XLOOKUP(T108&amp;AA108,[3]装备属性!$D$309:$D$557&amp;[3]装备属性!$F$309:$F$557,[3]装备属性!$H$309:$H$557)*AG108*6,0)+VLOOKUP(H241,$V$209:$X$216,3,0)*T241+100</f>
        <v>5422</v>
      </c>
      <c r="J108" s="19">
        <v>32</v>
      </c>
      <c r="K108" s="19">
        <v>55</v>
      </c>
      <c r="L108" s="19">
        <v>60</v>
      </c>
      <c r="M108" s="19">
        <v>64</v>
      </c>
      <c r="N108" s="19">
        <v>68</v>
      </c>
      <c r="P108" s="19">
        <v>32</v>
      </c>
      <c r="Q108" s="19">
        <v>70</v>
      </c>
      <c r="R108" s="19">
        <v>80</v>
      </c>
      <c r="S108" s="19">
        <v>80</v>
      </c>
      <c r="T108" s="19">
        <v>90</v>
      </c>
      <c r="W108" s="19">
        <v>32</v>
      </c>
      <c r="X108" s="19" t="str">
        <f t="shared" si="0"/>
        <v>粉</v>
      </c>
      <c r="Y108" s="19" t="str">
        <f t="shared" si="1"/>
        <v>粉</v>
      </c>
      <c r="Z108" s="19" t="str">
        <f t="shared" si="2"/>
        <v>粉</v>
      </c>
      <c r="AA108" s="19" t="str">
        <f t="shared" si="3"/>
        <v>彩</v>
      </c>
      <c r="AC108" s="19">
        <v>32</v>
      </c>
      <c r="AD108" s="19">
        <v>0</v>
      </c>
      <c r="AE108" s="19">
        <v>0</v>
      </c>
      <c r="AF108" s="19">
        <v>0</v>
      </c>
      <c r="AG108" s="19">
        <v>0</v>
      </c>
    </row>
    <row r="109" outlineLevel="1" spans="4:33">
      <c r="D109" s="19">
        <v>33</v>
      </c>
      <c r="E109" s="86" cm="1">
        <f ca="1" t="array" ref="E109">_xlfn.XLOOKUP(K109,[3]装备属性!$D$571:$D$870,[3]装备属性!$I$571:$I$870)*6+_xlfn.XLOOKUP(Q109&amp;X109,[3]装备属性!$E$62:$E$277&amp;[3]装备属性!$G$62:$G$277,[3]装备属性!$I$62:$I$277)*6+IFERROR(_xlfn.XLOOKUP(Q109&amp;X109,[3]装备属性!$D$309:$D$557&amp;[3]装备属性!$F$309:$F$557,[3]装备属性!$H$309:$H$557)*AD109*6,0)+VLOOKUP(E242,$V$209:$X$216,3,0)*Q242+100</f>
        <v>3916</v>
      </c>
      <c r="F109" s="86" cm="1">
        <f ca="1" t="array" ref="F109">_xlfn.XLOOKUP(L109,[3]装备属性!$D$571:$D$870,[3]装备属性!$I$571:$I$870)*6+_xlfn.XLOOKUP(R109&amp;Y109,[3]装备属性!$E$62:$E$277&amp;[3]装备属性!$G$62:$G$277,[3]装备属性!$I$62:$I$277)*6+IFERROR(_xlfn.XLOOKUP(R109&amp;Y109,[3]装备属性!$D$309:$D$557&amp;[3]装备属性!$F$309:$F$557,[3]装备属性!$H$309:$H$557)*AE109*6,0)+VLOOKUP(F242,$V$209:$X$216,3,0)*R242+100</f>
        <v>4306</v>
      </c>
      <c r="G109" s="86" cm="1">
        <f ca="1" t="array" ref="G109">_xlfn.XLOOKUP(M109,[3]装备属性!$D$571:$D$870,[3]装备属性!$I$571:$I$870)*6+_xlfn.XLOOKUP(S109&amp;Z109,[3]装备属性!$E$62:$E$277&amp;[3]装备属性!$G$62:$G$277,[3]装备属性!$I$62:$I$277)*6+IFERROR(_xlfn.XLOOKUP(S109&amp;Z109,[3]装备属性!$D$309:$D$557&amp;[3]装备属性!$F$309:$F$557,[3]装备属性!$H$309:$H$557)*AF109*6,0)+VLOOKUP(G242,$V$209:$X$216,3,0)*S242+100</f>
        <v>4546</v>
      </c>
      <c r="H109" s="86" cm="1">
        <f ca="1" t="array" ref="H109">_xlfn.XLOOKUP(N109,[3]装备属性!$D$571:$D$870,[3]装备属性!$I$571:$I$870)*6+_xlfn.XLOOKUP(T109&amp;AA109,[3]装备属性!$E$62:$E$277&amp;[3]装备属性!$G$62:$G$277,[3]装备属性!$I$62:$I$277)*6+IFERROR(_xlfn.XLOOKUP(T109&amp;AA109,[3]装备属性!$D$309:$D$557&amp;[3]装备属性!$F$309:$F$557,[3]装备属性!$H$309:$H$557)*AG109*6,0)+VLOOKUP(H242,$V$209:$X$216,3,0)*T242+100</f>
        <v>5482</v>
      </c>
      <c r="J109" s="19">
        <v>33</v>
      </c>
      <c r="K109" s="19">
        <v>56</v>
      </c>
      <c r="L109" s="19">
        <v>61</v>
      </c>
      <c r="M109" s="19">
        <v>65</v>
      </c>
      <c r="N109" s="19">
        <v>69</v>
      </c>
      <c r="P109" s="19">
        <v>33</v>
      </c>
      <c r="Q109" s="19">
        <v>80</v>
      </c>
      <c r="R109" s="19">
        <v>80</v>
      </c>
      <c r="S109" s="19">
        <v>80</v>
      </c>
      <c r="T109" s="19">
        <v>90</v>
      </c>
      <c r="W109" s="19">
        <v>33</v>
      </c>
      <c r="X109" s="19" t="str">
        <f t="shared" si="0"/>
        <v>粉</v>
      </c>
      <c r="Y109" s="19" t="str">
        <f t="shared" si="1"/>
        <v>粉</v>
      </c>
      <c r="Z109" s="19" t="str">
        <f t="shared" si="2"/>
        <v>粉</v>
      </c>
      <c r="AA109" s="19" t="str">
        <f t="shared" si="3"/>
        <v>彩</v>
      </c>
      <c r="AC109" s="19">
        <v>33</v>
      </c>
      <c r="AD109" s="19">
        <v>0</v>
      </c>
      <c r="AE109" s="19">
        <v>0</v>
      </c>
      <c r="AF109" s="19">
        <v>0</v>
      </c>
      <c r="AG109" s="19">
        <v>0</v>
      </c>
    </row>
    <row r="110" outlineLevel="1" spans="4:33">
      <c r="D110" s="19">
        <v>34</v>
      </c>
      <c r="E110" s="86" cm="1">
        <f ca="1" t="array" ref="E110">_xlfn.XLOOKUP(K110,[3]装备属性!$D$571:$D$870,[3]装备属性!$I$571:$I$870)*6+_xlfn.XLOOKUP(Q110&amp;X110,[3]装备属性!$E$62:$E$277&amp;[3]装备属性!$G$62:$G$277,[3]装备属性!$I$62:$I$277)*6+IFERROR(_xlfn.XLOOKUP(Q110&amp;X110,[3]装备属性!$D$309:$D$557&amp;[3]装备属性!$F$309:$F$557,[3]装备属性!$H$309:$H$557)*AD110*6,0)+VLOOKUP(E243,$V$209:$X$216,3,0)*Q243+100</f>
        <v>3976</v>
      </c>
      <c r="F110" s="86" cm="1">
        <f ca="1" t="array" ref="F110">_xlfn.XLOOKUP(L110,[3]装备属性!$D$571:$D$870,[3]装备属性!$I$571:$I$870)*6+_xlfn.XLOOKUP(R110&amp;Y110,[3]装备属性!$E$62:$E$277&amp;[3]装备属性!$G$62:$G$277,[3]装备属性!$I$62:$I$277)*6+IFERROR(_xlfn.XLOOKUP(R110&amp;Y110,[3]装备属性!$D$309:$D$557&amp;[3]装备属性!$F$309:$F$557,[3]装备属性!$H$309:$H$557)*AE110*6,0)+VLOOKUP(F243,$V$209:$X$216,3,0)*R243+100</f>
        <v>4366</v>
      </c>
      <c r="G110" s="86" cm="1">
        <f ca="1" t="array" ref="G110">_xlfn.XLOOKUP(M110,[3]装备属性!$D$571:$D$870,[3]装备属性!$I$571:$I$870)*6+_xlfn.XLOOKUP(S110&amp;Z110,[3]装备属性!$E$62:$E$277&amp;[3]装备属性!$G$62:$G$277,[3]装备属性!$I$62:$I$277)*6+IFERROR(_xlfn.XLOOKUP(S110&amp;Z110,[3]装备属性!$D$309:$D$557&amp;[3]装备属性!$F$309:$F$557,[3]装备属性!$H$309:$H$557)*AF110*6,0)+VLOOKUP(G243,$V$209:$X$216,3,0)*S243+100</f>
        <v>4606</v>
      </c>
      <c r="H110" s="86" cm="1">
        <f ca="1" t="array" ref="H110">_xlfn.XLOOKUP(N110,[3]装备属性!$D$571:$D$870,[3]装备属性!$I$571:$I$870)*6+_xlfn.XLOOKUP(T110&amp;AA110,[3]装备属性!$E$62:$E$277&amp;[3]装备属性!$G$62:$G$277,[3]装备属性!$I$62:$I$277)*6+IFERROR(_xlfn.XLOOKUP(T110&amp;AA110,[3]装备属性!$D$309:$D$557&amp;[3]装备属性!$F$309:$F$557,[3]装备属性!$H$309:$H$557)*AG110*6,0)+VLOOKUP(H243,$V$209:$X$216,3,0)*T243+100</f>
        <v>5554</v>
      </c>
      <c r="J110" s="19">
        <v>34</v>
      </c>
      <c r="K110" s="19">
        <v>57</v>
      </c>
      <c r="L110" s="19">
        <v>62</v>
      </c>
      <c r="M110" s="19">
        <v>66</v>
      </c>
      <c r="N110" s="19">
        <v>70</v>
      </c>
      <c r="P110" s="19">
        <v>34</v>
      </c>
      <c r="Q110" s="19">
        <v>80</v>
      </c>
      <c r="R110" s="19">
        <v>80</v>
      </c>
      <c r="S110" s="19">
        <v>80</v>
      </c>
      <c r="T110" s="19">
        <v>90</v>
      </c>
      <c r="W110" s="19">
        <v>34</v>
      </c>
      <c r="X110" s="19" t="str">
        <f t="shared" ref="X110:X136" si="4">VLOOKUP(INT(L44/10),$AI$77:$AJ$96,2,0)</f>
        <v>粉</v>
      </c>
      <c r="Y110" s="19" t="str">
        <f t="shared" ref="Y110:Y136" si="5">VLOOKUP(INT(M44/10),$AI$77:$AJ$96,2,0)</f>
        <v>粉</v>
      </c>
      <c r="Z110" s="19" t="str">
        <f t="shared" ref="Z110:Z136" si="6">VLOOKUP(INT(N44/10),$AI$77:$AJ$96,2,0)</f>
        <v>粉</v>
      </c>
      <c r="AA110" s="19" t="str">
        <f t="shared" ref="AA110:AA136" si="7">VLOOKUP(INT(O44/10),$AI$77:$AJ$96,2,0)</f>
        <v>彩</v>
      </c>
      <c r="AC110" s="19">
        <v>34</v>
      </c>
      <c r="AD110" s="19">
        <v>0</v>
      </c>
      <c r="AE110" s="19">
        <v>0</v>
      </c>
      <c r="AF110" s="19">
        <v>0</v>
      </c>
      <c r="AG110" s="19">
        <v>0</v>
      </c>
    </row>
    <row r="111" outlineLevel="1" spans="4:33">
      <c r="D111" s="19">
        <v>35</v>
      </c>
      <c r="E111" s="86" cm="1">
        <f ca="1" t="array" ref="E111">_xlfn.XLOOKUP(K111,[3]装备属性!$D$571:$D$870,[3]装备属性!$I$571:$I$870)*6+_xlfn.XLOOKUP(Q111&amp;X111,[3]装备属性!$E$62:$E$277&amp;[3]装备属性!$G$62:$G$277,[3]装备属性!$I$62:$I$277)*6+IFERROR(_xlfn.XLOOKUP(Q111&amp;X111,[3]装备属性!$D$309:$D$557&amp;[3]装备属性!$F$309:$F$557,[3]装备属性!$H$309:$H$557)*AD111*6,0)+VLOOKUP(E244,$V$209:$X$216,3,0)*Q244+100</f>
        <v>4036</v>
      </c>
      <c r="F111" s="86" cm="1">
        <f ca="1" t="array" ref="F111">_xlfn.XLOOKUP(L111,[3]装备属性!$D$571:$D$870,[3]装备属性!$I$571:$I$870)*6+_xlfn.XLOOKUP(R111&amp;Y111,[3]装备属性!$E$62:$E$277&amp;[3]装备属性!$G$62:$G$277,[3]装备属性!$I$62:$I$277)*6+IFERROR(_xlfn.XLOOKUP(R111&amp;Y111,[3]装备属性!$D$309:$D$557&amp;[3]装备属性!$F$309:$F$557,[3]装备属性!$H$309:$H$557)*AE111*6,0)+VLOOKUP(F244,$V$209:$X$216,3,0)*R244+100</f>
        <v>4426</v>
      </c>
      <c r="G111" s="86" cm="1">
        <f ca="1" t="array" ref="G111">_xlfn.XLOOKUP(M111,[3]装备属性!$D$571:$D$870,[3]装备属性!$I$571:$I$870)*6+_xlfn.XLOOKUP(S111&amp;Z111,[3]装备属性!$E$62:$E$277&amp;[3]装备属性!$G$62:$G$277,[3]装备属性!$I$62:$I$277)*6+IFERROR(_xlfn.XLOOKUP(S111&amp;Z111,[3]装备属性!$D$309:$D$557&amp;[3]装备属性!$F$309:$F$557,[3]装备属性!$H$309:$H$557)*AF111*6,0)+VLOOKUP(G244,$V$209:$X$216,3,0)*S244+100</f>
        <v>4666</v>
      </c>
      <c r="H111" s="86" cm="1">
        <f ca="1" t="array" ref="H111">_xlfn.XLOOKUP(N111,[3]装备属性!$D$571:$D$870,[3]装备属性!$I$571:$I$870)*6+_xlfn.XLOOKUP(T111&amp;AA111,[3]装备属性!$E$62:$E$277&amp;[3]装备属性!$G$62:$G$277,[3]装备属性!$I$62:$I$277)*6+IFERROR(_xlfn.XLOOKUP(T111&amp;AA111,[3]装备属性!$D$309:$D$557&amp;[3]装备属性!$F$309:$F$557,[3]装备属性!$H$309:$H$557)*AG111*6,0)+VLOOKUP(H244,$V$209:$X$216,3,0)*T244+100</f>
        <v>5626</v>
      </c>
      <c r="J111" s="19">
        <v>35</v>
      </c>
      <c r="K111" s="19">
        <v>58</v>
      </c>
      <c r="L111" s="19">
        <v>63</v>
      </c>
      <c r="M111" s="19">
        <v>67</v>
      </c>
      <c r="N111" s="19">
        <v>71</v>
      </c>
      <c r="P111" s="19">
        <v>35</v>
      </c>
      <c r="Q111" s="19">
        <v>80</v>
      </c>
      <c r="R111" s="19">
        <v>80</v>
      </c>
      <c r="S111" s="19">
        <v>80</v>
      </c>
      <c r="T111" s="19">
        <v>90</v>
      </c>
      <c r="W111" s="19">
        <v>35</v>
      </c>
      <c r="X111" s="19" t="str">
        <f t="shared" si="4"/>
        <v>粉</v>
      </c>
      <c r="Y111" s="19" t="str">
        <f t="shared" si="5"/>
        <v>粉</v>
      </c>
      <c r="Z111" s="19" t="str">
        <f t="shared" si="6"/>
        <v>粉</v>
      </c>
      <c r="AA111" s="19" t="str">
        <f t="shared" si="7"/>
        <v>彩</v>
      </c>
      <c r="AC111" s="19">
        <v>35</v>
      </c>
      <c r="AD111" s="19">
        <v>0</v>
      </c>
      <c r="AE111" s="19">
        <v>0</v>
      </c>
      <c r="AF111" s="19">
        <v>0</v>
      </c>
      <c r="AG111" s="19">
        <v>0</v>
      </c>
    </row>
    <row r="112" outlineLevel="1" spans="4:33">
      <c r="D112" s="19">
        <v>36</v>
      </c>
      <c r="E112" s="86" cm="1">
        <f ca="1" t="array" ref="E112">_xlfn.XLOOKUP(K112,[3]装备属性!$D$571:$D$870,[3]装备属性!$I$571:$I$870)*6+_xlfn.XLOOKUP(Q112&amp;X112,[3]装备属性!$E$62:$E$277&amp;[3]装备属性!$G$62:$G$277,[3]装备属性!$I$62:$I$277)*6+IFERROR(_xlfn.XLOOKUP(Q112&amp;X112,[3]装备属性!$D$309:$D$557&amp;[3]装备属性!$F$309:$F$557,[3]装备属性!$H$309:$H$557)*AD112*6,0)+VLOOKUP(E245,$V$209:$X$216,3,0)*Q245+100</f>
        <v>4036</v>
      </c>
      <c r="F112" s="86" cm="1">
        <f ca="1" t="array" ref="F112">_xlfn.XLOOKUP(L112,[3]装备属性!$D$571:$D$870,[3]装备属性!$I$571:$I$870)*6+_xlfn.XLOOKUP(R112&amp;Y112,[3]装备属性!$E$62:$E$277&amp;[3]装备属性!$G$62:$G$277,[3]装备属性!$I$62:$I$277)*6+IFERROR(_xlfn.XLOOKUP(R112&amp;Y112,[3]装备属性!$D$309:$D$557&amp;[3]装备属性!$F$309:$F$557,[3]装备属性!$H$309:$H$557)*AE112*6,0)+VLOOKUP(F245,$V$209:$X$216,3,0)*R245+100</f>
        <v>4486</v>
      </c>
      <c r="G112" s="86" cm="1">
        <f ca="1" t="array" ref="G112">_xlfn.XLOOKUP(M112,[3]装备属性!$D$571:$D$870,[3]装备属性!$I$571:$I$870)*6+_xlfn.XLOOKUP(S112&amp;Z112,[3]装备属性!$E$62:$E$277&amp;[3]装备属性!$G$62:$G$277,[3]装备属性!$I$62:$I$277)*6+IFERROR(_xlfn.XLOOKUP(S112&amp;Z112,[3]装备属性!$D$309:$D$557&amp;[3]装备属性!$F$309:$F$557,[3]装备属性!$H$309:$H$557)*AF112*6,0)+VLOOKUP(G245,$V$209:$X$216,3,0)*S245+100</f>
        <v>4666</v>
      </c>
      <c r="H112" s="86" cm="1">
        <f ca="1" t="array" ref="H112">_xlfn.XLOOKUP(N112,[3]装备属性!$D$571:$D$870,[3]装备属性!$I$571:$I$870)*6+_xlfn.XLOOKUP(T112&amp;AA112,[3]装备属性!$E$62:$E$277&amp;[3]装备属性!$G$62:$G$277,[3]装备属性!$I$62:$I$277)*6+IFERROR(_xlfn.XLOOKUP(T112&amp;AA112,[3]装备属性!$D$309:$D$557&amp;[3]装备属性!$F$309:$F$557,[3]装备属性!$H$309:$H$557)*AG112*6,0)+VLOOKUP(H245,$V$209:$X$216,3,0)*T245+100</f>
        <v>5698</v>
      </c>
      <c r="J112" s="19">
        <v>36</v>
      </c>
      <c r="K112" s="19">
        <v>58</v>
      </c>
      <c r="L112" s="19">
        <v>64</v>
      </c>
      <c r="M112" s="19">
        <v>67</v>
      </c>
      <c r="N112" s="19">
        <v>72</v>
      </c>
      <c r="P112" s="19">
        <v>36</v>
      </c>
      <c r="Q112" s="19">
        <v>80</v>
      </c>
      <c r="R112" s="19">
        <v>80</v>
      </c>
      <c r="S112" s="19">
        <v>80</v>
      </c>
      <c r="T112" s="19">
        <v>90</v>
      </c>
      <c r="W112" s="19">
        <v>36</v>
      </c>
      <c r="X112" s="19" t="str">
        <f t="shared" si="4"/>
        <v>粉</v>
      </c>
      <c r="Y112" s="19" t="str">
        <f t="shared" si="5"/>
        <v>粉</v>
      </c>
      <c r="Z112" s="19" t="str">
        <f t="shared" si="6"/>
        <v>粉</v>
      </c>
      <c r="AA112" s="19" t="str">
        <f t="shared" si="7"/>
        <v>彩</v>
      </c>
      <c r="AC112" s="19">
        <v>36</v>
      </c>
      <c r="AD112" s="19">
        <v>0</v>
      </c>
      <c r="AE112" s="19">
        <v>0</v>
      </c>
      <c r="AF112" s="19">
        <v>0</v>
      </c>
      <c r="AG112" s="19">
        <v>0</v>
      </c>
    </row>
    <row r="113" outlineLevel="1" spans="4:33">
      <c r="D113" s="19">
        <v>37</v>
      </c>
      <c r="E113" s="86" cm="1">
        <f ca="1" t="array" ref="E113">_xlfn.XLOOKUP(K113,[3]装备属性!$D$571:$D$870,[3]装备属性!$I$571:$I$870)*6+_xlfn.XLOOKUP(Q113&amp;X113,[3]装备属性!$E$62:$E$277&amp;[3]装备属性!$G$62:$G$277,[3]装备属性!$I$62:$I$277)*6+IFERROR(_xlfn.XLOOKUP(Q113&amp;X113,[3]装备属性!$D$309:$D$557&amp;[3]装备属性!$F$309:$F$557,[3]装备属性!$H$309:$H$557)*AD113*6,0)+VLOOKUP(E246,$V$209:$X$216,3,0)*Q246+100</f>
        <v>4096</v>
      </c>
      <c r="F113" s="86" cm="1">
        <f ca="1" t="array" ref="F113">_xlfn.XLOOKUP(L113,[3]装备属性!$D$571:$D$870,[3]装备属性!$I$571:$I$870)*6+_xlfn.XLOOKUP(R113&amp;Y113,[3]装备属性!$E$62:$E$277&amp;[3]装备属性!$G$62:$G$277,[3]装备属性!$I$62:$I$277)*6+IFERROR(_xlfn.XLOOKUP(R113&amp;Y113,[3]装备属性!$D$309:$D$557&amp;[3]装备属性!$F$309:$F$557,[3]装备属性!$H$309:$H$557)*AE113*6,0)+VLOOKUP(F246,$V$209:$X$216,3,0)*R246+100</f>
        <v>4486</v>
      </c>
      <c r="G113" s="86" cm="1">
        <f ca="1" t="array" ref="G113">_xlfn.XLOOKUP(M113,[3]装备属性!$D$571:$D$870,[3]装备属性!$I$571:$I$870)*6+_xlfn.XLOOKUP(S113&amp;Z113,[3]装备属性!$E$62:$E$277&amp;[3]装备属性!$G$62:$G$277,[3]装备属性!$I$62:$I$277)*6+IFERROR(_xlfn.XLOOKUP(S113&amp;Z113,[3]装备属性!$D$309:$D$557&amp;[3]装备属性!$F$309:$F$557,[3]装备属性!$H$309:$H$557)*AF113*6,0)+VLOOKUP(G246,$V$209:$X$216,3,0)*S246+100</f>
        <v>4726</v>
      </c>
      <c r="H113" s="86" cm="1">
        <f ca="1" t="array" ref="H113">_xlfn.XLOOKUP(N113,[3]装备属性!$D$571:$D$870,[3]装备属性!$I$571:$I$870)*6+_xlfn.XLOOKUP(T113&amp;AA113,[3]装备属性!$E$62:$E$277&amp;[3]装备属性!$G$62:$G$277,[3]装备属性!$I$62:$I$277)*6+IFERROR(_xlfn.XLOOKUP(T113&amp;AA113,[3]装备属性!$D$309:$D$557&amp;[3]装备属性!$F$309:$F$557,[3]装备属性!$H$309:$H$557)*AG113*6,0)+VLOOKUP(H246,$V$209:$X$216,3,0)*T246+100</f>
        <v>6202</v>
      </c>
      <c r="J113" s="19">
        <v>37</v>
      </c>
      <c r="K113" s="19">
        <v>59</v>
      </c>
      <c r="L113" s="19">
        <v>64</v>
      </c>
      <c r="M113" s="19">
        <v>68</v>
      </c>
      <c r="N113" s="19">
        <v>73</v>
      </c>
      <c r="P113" s="19">
        <v>37</v>
      </c>
      <c r="Q113" s="19">
        <v>80</v>
      </c>
      <c r="R113" s="19">
        <v>80</v>
      </c>
      <c r="S113" s="19">
        <v>80</v>
      </c>
      <c r="T113" s="19">
        <v>100</v>
      </c>
      <c r="W113" s="19">
        <v>37</v>
      </c>
      <c r="X113" s="19" t="str">
        <f t="shared" si="4"/>
        <v>粉</v>
      </c>
      <c r="Y113" s="19" t="str">
        <f t="shared" si="5"/>
        <v>粉</v>
      </c>
      <c r="Z113" s="19" t="str">
        <f t="shared" si="6"/>
        <v>粉</v>
      </c>
      <c r="AA113" s="19" t="str">
        <f t="shared" si="7"/>
        <v>彩</v>
      </c>
      <c r="AC113" s="19">
        <v>37</v>
      </c>
      <c r="AD113" s="19">
        <v>0</v>
      </c>
      <c r="AE113" s="19">
        <v>0</v>
      </c>
      <c r="AF113" s="19">
        <v>0</v>
      </c>
      <c r="AG113" s="19">
        <v>0</v>
      </c>
    </row>
    <row r="114" outlineLevel="1" spans="4:33">
      <c r="D114" s="19">
        <v>38</v>
      </c>
      <c r="E114" s="86" cm="1">
        <f ca="1" t="array" ref="E114">_xlfn.XLOOKUP(K114,[3]装备属性!$D$571:$D$870,[3]装备属性!$I$571:$I$870)*6+_xlfn.XLOOKUP(Q114&amp;X114,[3]装备属性!$E$62:$E$277&amp;[3]装备属性!$G$62:$G$277,[3]装备属性!$I$62:$I$277)*6+IFERROR(_xlfn.XLOOKUP(Q114&amp;X114,[3]装备属性!$D$309:$D$557&amp;[3]装备属性!$F$309:$F$557,[3]装备属性!$H$309:$H$557)*AD114*6,0)+VLOOKUP(E247,$V$209:$X$216,3,0)*Q247+100</f>
        <v>4156</v>
      </c>
      <c r="F114" s="86" cm="1">
        <f ca="1" t="array" ref="F114">_xlfn.XLOOKUP(L114,[3]装备属性!$D$571:$D$870,[3]装备属性!$I$571:$I$870)*6+_xlfn.XLOOKUP(R114&amp;Y114,[3]装备属性!$E$62:$E$277&amp;[3]装备属性!$G$62:$G$277,[3]装备属性!$I$62:$I$277)*6+IFERROR(_xlfn.XLOOKUP(R114&amp;Y114,[3]装备属性!$D$309:$D$557&amp;[3]装备属性!$F$309:$F$557,[3]装备属性!$H$309:$H$557)*AE114*6,0)+VLOOKUP(F247,$V$209:$X$216,3,0)*R247+100</f>
        <v>4546</v>
      </c>
      <c r="G114" s="86" cm="1">
        <f ca="1" t="array" ref="G114">_xlfn.XLOOKUP(M114,[3]装备属性!$D$571:$D$870,[3]装备属性!$I$571:$I$870)*6+_xlfn.XLOOKUP(S114&amp;Z114,[3]装备属性!$E$62:$E$277&amp;[3]装备属性!$G$62:$G$277,[3]装备属性!$I$62:$I$277)*6+IFERROR(_xlfn.XLOOKUP(S114&amp;Z114,[3]装备属性!$D$309:$D$557&amp;[3]装备属性!$F$309:$F$557,[3]装备属性!$H$309:$H$557)*AF114*6,0)+VLOOKUP(G247,$V$209:$X$216,3,0)*S247+100</f>
        <v>4786</v>
      </c>
      <c r="H114" s="86" cm="1">
        <f ca="1" t="array" ref="H114">_xlfn.XLOOKUP(N114,[3]装备属性!$D$571:$D$870,[3]装备属性!$I$571:$I$870)*6+_xlfn.XLOOKUP(T114&amp;AA114,[3]装备属性!$E$62:$E$277&amp;[3]装备属性!$G$62:$G$277,[3]装备属性!$I$62:$I$277)*6+IFERROR(_xlfn.XLOOKUP(T114&amp;AA114,[3]装备属性!$D$309:$D$557&amp;[3]装备属性!$F$309:$F$557,[3]装备属性!$H$309:$H$557)*AG114*6,0)+VLOOKUP(H247,$V$209:$X$216,3,0)*T247+100</f>
        <v>6274</v>
      </c>
      <c r="J114" s="19">
        <v>38</v>
      </c>
      <c r="K114" s="19">
        <v>60</v>
      </c>
      <c r="L114" s="19">
        <v>65</v>
      </c>
      <c r="M114" s="19">
        <v>69</v>
      </c>
      <c r="N114" s="19">
        <v>74</v>
      </c>
      <c r="P114" s="19">
        <v>38</v>
      </c>
      <c r="Q114" s="19">
        <v>80</v>
      </c>
      <c r="R114" s="19">
        <v>80</v>
      </c>
      <c r="S114" s="19">
        <v>80</v>
      </c>
      <c r="T114" s="19">
        <v>100</v>
      </c>
      <c r="W114" s="19">
        <v>38</v>
      </c>
      <c r="X114" s="19" t="str">
        <f t="shared" si="4"/>
        <v>粉</v>
      </c>
      <c r="Y114" s="19" t="str">
        <f t="shared" si="5"/>
        <v>粉</v>
      </c>
      <c r="Z114" s="19" t="str">
        <f t="shared" si="6"/>
        <v>粉</v>
      </c>
      <c r="AA114" s="19" t="str">
        <f t="shared" si="7"/>
        <v>彩</v>
      </c>
      <c r="AC114" s="19">
        <v>38</v>
      </c>
      <c r="AD114" s="19">
        <v>0</v>
      </c>
      <c r="AE114" s="19">
        <v>0</v>
      </c>
      <c r="AF114" s="19">
        <v>0</v>
      </c>
      <c r="AG114" s="19">
        <v>0</v>
      </c>
    </row>
    <row r="115" outlineLevel="1" spans="4:33">
      <c r="D115" s="19">
        <v>39</v>
      </c>
      <c r="E115" s="86" cm="1">
        <f ca="1" t="array" ref="E115">_xlfn.XLOOKUP(K115,[3]装备属性!$D$571:$D$870,[3]装备属性!$I$571:$I$870)*6+_xlfn.XLOOKUP(Q115&amp;X115,[3]装备属性!$E$62:$E$277&amp;[3]装备属性!$G$62:$G$277,[3]装备属性!$I$62:$I$277)*6+IFERROR(_xlfn.XLOOKUP(Q115&amp;X115,[3]装备属性!$D$309:$D$557&amp;[3]装备属性!$F$309:$F$557,[3]装备属性!$H$309:$H$557)*AD115*6,0)+VLOOKUP(E248,$V$209:$X$216,3,0)*Q248+100</f>
        <v>4216</v>
      </c>
      <c r="F115" s="86" cm="1">
        <f ca="1" t="array" ref="F115">_xlfn.XLOOKUP(L115,[3]装备属性!$D$571:$D$870,[3]装备属性!$I$571:$I$870)*6+_xlfn.XLOOKUP(R115&amp;Y115,[3]装备属性!$E$62:$E$277&amp;[3]装备属性!$G$62:$G$277,[3]装备属性!$I$62:$I$277)*6+IFERROR(_xlfn.XLOOKUP(R115&amp;Y115,[3]装备属性!$D$309:$D$557&amp;[3]装备属性!$F$309:$F$557,[3]装备属性!$H$309:$H$557)*AE115*6,0)+VLOOKUP(F248,$V$209:$X$216,3,0)*R248+100</f>
        <v>4606</v>
      </c>
      <c r="G115" s="86" cm="1">
        <f ca="1" t="array" ref="G115">_xlfn.XLOOKUP(M115,[3]装备属性!$D$571:$D$870,[3]装备属性!$I$571:$I$870)*6+_xlfn.XLOOKUP(S115&amp;Z115,[3]装备属性!$E$62:$E$277&amp;[3]装备属性!$G$62:$G$277,[3]装备属性!$I$62:$I$277)*6+IFERROR(_xlfn.XLOOKUP(S115&amp;Z115,[3]装备属性!$D$309:$D$557&amp;[3]装备属性!$F$309:$F$557,[3]装备属性!$H$309:$H$557)*AF115*6,0)+VLOOKUP(G248,$V$209:$X$216,3,0)*S248+100</f>
        <v>4858</v>
      </c>
      <c r="H115" s="86" cm="1">
        <f ca="1" t="array" ref="H115">_xlfn.XLOOKUP(N115,[3]装备属性!$D$571:$D$870,[3]装备属性!$I$571:$I$870)*6+_xlfn.XLOOKUP(T115&amp;AA115,[3]装备属性!$E$62:$E$277&amp;[3]装备属性!$G$62:$G$277,[3]装备属性!$I$62:$I$277)*6+IFERROR(_xlfn.XLOOKUP(T115&amp;AA115,[3]装备属性!$D$309:$D$557&amp;[3]装备属性!$F$309:$F$557,[3]装备属性!$H$309:$H$557)*AG115*6,0)+VLOOKUP(H248,$V$209:$X$216,3,0)*T248+100</f>
        <v>6346</v>
      </c>
      <c r="J115" s="19">
        <v>39</v>
      </c>
      <c r="K115" s="19">
        <v>61</v>
      </c>
      <c r="L115" s="19">
        <v>66</v>
      </c>
      <c r="M115" s="19">
        <v>70</v>
      </c>
      <c r="N115" s="19">
        <v>75</v>
      </c>
      <c r="P115" s="19">
        <v>39</v>
      </c>
      <c r="Q115" s="19">
        <v>80</v>
      </c>
      <c r="R115" s="19">
        <v>80</v>
      </c>
      <c r="S115" s="19">
        <v>80</v>
      </c>
      <c r="T115" s="19">
        <v>100</v>
      </c>
      <c r="W115" s="19">
        <v>39</v>
      </c>
      <c r="X115" s="19" t="str">
        <f t="shared" si="4"/>
        <v>粉</v>
      </c>
      <c r="Y115" s="19" t="str">
        <f t="shared" si="5"/>
        <v>粉</v>
      </c>
      <c r="Z115" s="19" t="str">
        <f t="shared" si="6"/>
        <v>粉</v>
      </c>
      <c r="AA115" s="19" t="str">
        <f t="shared" si="7"/>
        <v>彩</v>
      </c>
      <c r="AC115" s="19">
        <v>39</v>
      </c>
      <c r="AD115" s="19">
        <v>0</v>
      </c>
      <c r="AE115" s="19">
        <v>0</v>
      </c>
      <c r="AF115" s="19">
        <v>0</v>
      </c>
      <c r="AG115" s="19">
        <v>0</v>
      </c>
    </row>
    <row r="116" outlineLevel="1" spans="4:33">
      <c r="D116" s="19">
        <v>40</v>
      </c>
      <c r="E116" s="86" cm="1">
        <f ca="1" t="array" ref="E116">_xlfn.XLOOKUP(K116,[3]装备属性!$D$571:$D$870,[3]装备属性!$I$571:$I$870)*6+_xlfn.XLOOKUP(Q116&amp;X116,[3]装备属性!$E$62:$E$277&amp;[3]装备属性!$G$62:$G$277,[3]装备属性!$I$62:$I$277)*6+IFERROR(_xlfn.XLOOKUP(Q116&amp;X116,[3]装备属性!$D$309:$D$557&amp;[3]装备属性!$F$309:$F$557,[3]装备属性!$H$309:$H$557)*AD116*6,0)+VLOOKUP(E249,$V$209:$X$216,3,0)*Q249+100</f>
        <v>4276</v>
      </c>
      <c r="F116" s="86" cm="1">
        <f ca="1" t="array" ref="F116">_xlfn.XLOOKUP(L116,[3]装备属性!$D$571:$D$870,[3]装备属性!$I$571:$I$870)*6+_xlfn.XLOOKUP(R116&amp;Y116,[3]装备属性!$E$62:$E$277&amp;[3]装备属性!$G$62:$G$277,[3]装备属性!$I$62:$I$277)*6+IFERROR(_xlfn.XLOOKUP(R116&amp;Y116,[3]装备属性!$D$309:$D$557&amp;[3]装备属性!$F$309:$F$557,[3]装备属性!$H$309:$H$557)*AE116*6,0)+VLOOKUP(F249,$V$209:$X$216,3,0)*R249+100</f>
        <v>4666</v>
      </c>
      <c r="G116" s="86" cm="1">
        <f ca="1" t="array" ref="G116">_xlfn.XLOOKUP(M116,[3]装备属性!$D$571:$D$870,[3]装备属性!$I$571:$I$870)*6+_xlfn.XLOOKUP(S116&amp;Z116,[3]装备属性!$E$62:$E$277&amp;[3]装备属性!$G$62:$G$277,[3]装备属性!$I$62:$I$277)*6+IFERROR(_xlfn.XLOOKUP(S116&amp;Z116,[3]装备属性!$D$309:$D$557&amp;[3]装备属性!$F$309:$F$557,[3]装备属性!$H$309:$H$557)*AF116*6,0)+VLOOKUP(G249,$V$209:$X$216,3,0)*S249+100</f>
        <v>4930</v>
      </c>
      <c r="H116" s="86" cm="1">
        <f ca="1" t="array" ref="H116">_xlfn.XLOOKUP(N116,[3]装备属性!$D$571:$D$870,[3]装备属性!$I$571:$I$870)*6+_xlfn.XLOOKUP(T116&amp;AA116,[3]装备属性!$E$62:$E$277&amp;[3]装备属性!$G$62:$G$277,[3]装备属性!$I$62:$I$277)*6+IFERROR(_xlfn.XLOOKUP(T116&amp;AA116,[3]装备属性!$D$309:$D$557&amp;[3]装备属性!$F$309:$F$557,[3]装备属性!$H$309:$H$557)*AG116*6,0)+VLOOKUP(H249,$V$209:$X$216,3,0)*T249+100</f>
        <v>6418</v>
      </c>
      <c r="J116" s="19">
        <v>40</v>
      </c>
      <c r="K116" s="19">
        <v>62</v>
      </c>
      <c r="L116" s="19">
        <v>67</v>
      </c>
      <c r="M116" s="19">
        <v>71</v>
      </c>
      <c r="N116" s="19">
        <v>76</v>
      </c>
      <c r="P116" s="19">
        <v>40</v>
      </c>
      <c r="Q116" s="19">
        <v>80</v>
      </c>
      <c r="R116" s="19">
        <v>80</v>
      </c>
      <c r="S116" s="19">
        <v>80</v>
      </c>
      <c r="T116" s="19">
        <v>100</v>
      </c>
      <c r="W116" s="19">
        <v>40</v>
      </c>
      <c r="X116" s="19" t="str">
        <f t="shared" si="4"/>
        <v>粉</v>
      </c>
      <c r="Y116" s="19" t="str">
        <f t="shared" si="5"/>
        <v>粉</v>
      </c>
      <c r="Z116" s="19" t="str">
        <f t="shared" si="6"/>
        <v>粉</v>
      </c>
      <c r="AA116" s="19" t="str">
        <f t="shared" si="7"/>
        <v>彩</v>
      </c>
      <c r="AC116" s="19">
        <v>40</v>
      </c>
      <c r="AD116" s="19">
        <v>0</v>
      </c>
      <c r="AE116" s="19">
        <v>0</v>
      </c>
      <c r="AF116" s="19">
        <v>0</v>
      </c>
      <c r="AG116" s="19">
        <v>0</v>
      </c>
    </row>
    <row r="117" outlineLevel="1" spans="4:33">
      <c r="D117" s="19">
        <v>41</v>
      </c>
      <c r="E117" s="86" cm="1">
        <f ca="1" t="array" ref="E117">_xlfn.XLOOKUP(K117,[3]装备属性!$D$571:$D$870,[3]装备属性!$I$571:$I$870)*6+_xlfn.XLOOKUP(Q117&amp;X117,[3]装备属性!$E$62:$E$277&amp;[3]装备属性!$G$62:$G$277,[3]装备属性!$I$62:$I$277)*6+IFERROR(_xlfn.XLOOKUP(Q117&amp;X117,[3]装备属性!$D$309:$D$557&amp;[3]装备属性!$F$309:$F$557,[3]装备属性!$H$309:$H$557)*AD117*6,0)+VLOOKUP(E250,$V$209:$X$216,3,0)*Q250+100</f>
        <v>4276</v>
      </c>
      <c r="F117" s="86" cm="1">
        <f ca="1" t="array" ref="F117">_xlfn.XLOOKUP(L117,[3]装备属性!$D$571:$D$870,[3]装备属性!$I$571:$I$870)*6+_xlfn.XLOOKUP(R117&amp;Y117,[3]装备属性!$E$62:$E$277&amp;[3]装备属性!$G$62:$G$277,[3]装备属性!$I$62:$I$277)*6+IFERROR(_xlfn.XLOOKUP(R117&amp;Y117,[3]装备属性!$D$309:$D$557&amp;[3]装备属性!$F$309:$F$557,[3]装备属性!$H$309:$H$557)*AE117*6,0)+VLOOKUP(F250,$V$209:$X$216,3,0)*R250+100</f>
        <v>4726</v>
      </c>
      <c r="G117" s="86" cm="1">
        <f ca="1" t="array" ref="G117">_xlfn.XLOOKUP(M117,[3]装备属性!$D$571:$D$870,[3]装备属性!$I$571:$I$870)*6+_xlfn.XLOOKUP(S117&amp;Z117,[3]装备属性!$E$62:$E$277&amp;[3]装备属性!$G$62:$G$277,[3]装备属性!$I$62:$I$277)*6+IFERROR(_xlfn.XLOOKUP(S117&amp;Z117,[3]装备属性!$D$309:$D$557&amp;[3]装备属性!$F$309:$F$557,[3]装备属性!$H$309:$H$557)*AF117*6,0)+VLOOKUP(G250,$V$209:$X$216,3,0)*S250+100</f>
        <v>5002</v>
      </c>
      <c r="H117" s="86" cm="1">
        <f ca="1" t="array" ref="H117">_xlfn.XLOOKUP(N117,[3]装备属性!$D$571:$D$870,[3]装备属性!$I$571:$I$870)*6+_xlfn.XLOOKUP(T117&amp;AA117,[3]装备属性!$E$62:$E$277&amp;[3]装备属性!$G$62:$G$277,[3]装备属性!$I$62:$I$277)*6+IFERROR(_xlfn.XLOOKUP(T117&amp;AA117,[3]装备属性!$D$309:$D$557&amp;[3]装备属性!$F$309:$F$557,[3]装备属性!$H$309:$H$557)*AG117*6,0)+VLOOKUP(H250,$V$209:$X$216,3,0)*T250+100</f>
        <v>6490</v>
      </c>
      <c r="J117" s="19">
        <v>41</v>
      </c>
      <c r="K117" s="19">
        <v>62</v>
      </c>
      <c r="L117" s="19">
        <v>68</v>
      </c>
      <c r="M117" s="19">
        <v>72</v>
      </c>
      <c r="N117" s="19">
        <v>77</v>
      </c>
      <c r="P117" s="19">
        <v>41</v>
      </c>
      <c r="Q117" s="19">
        <v>80</v>
      </c>
      <c r="R117" s="19">
        <v>80</v>
      </c>
      <c r="S117" s="19">
        <v>80</v>
      </c>
      <c r="T117" s="19">
        <v>100</v>
      </c>
      <c r="W117" s="19">
        <v>41</v>
      </c>
      <c r="X117" s="19" t="str">
        <f t="shared" si="4"/>
        <v>粉</v>
      </c>
      <c r="Y117" s="19" t="str">
        <f t="shared" si="5"/>
        <v>粉</v>
      </c>
      <c r="Z117" s="19" t="str">
        <f t="shared" si="6"/>
        <v>粉</v>
      </c>
      <c r="AA117" s="19" t="str">
        <f t="shared" si="7"/>
        <v>彩</v>
      </c>
      <c r="AC117" s="19">
        <v>41</v>
      </c>
      <c r="AD117" s="19">
        <v>0</v>
      </c>
      <c r="AE117" s="19">
        <v>0</v>
      </c>
      <c r="AF117" s="19">
        <v>0</v>
      </c>
      <c r="AG117" s="19">
        <v>0</v>
      </c>
    </row>
    <row r="118" outlineLevel="1" spans="4:33">
      <c r="D118" s="19">
        <v>42</v>
      </c>
      <c r="E118" s="86" cm="1">
        <f ca="1" t="array" ref="E118">_xlfn.XLOOKUP(K118,[3]装备属性!$D$571:$D$870,[3]装备属性!$I$571:$I$870)*6+_xlfn.XLOOKUP(Q118&amp;X118,[3]装备属性!$E$62:$E$277&amp;[3]装备属性!$G$62:$G$277,[3]装备属性!$I$62:$I$277)*6+IFERROR(_xlfn.XLOOKUP(Q118&amp;X118,[3]装备属性!$D$309:$D$557&amp;[3]装备属性!$F$309:$F$557,[3]装备属性!$H$309:$H$557)*AD118*6,0)+VLOOKUP(E251,$V$209:$X$216,3,0)*Q251+100</f>
        <v>4336</v>
      </c>
      <c r="F118" s="86" cm="1">
        <f ca="1" t="array" ref="F118">_xlfn.XLOOKUP(L118,[3]装备属性!$D$571:$D$870,[3]装备属性!$I$571:$I$870)*6+_xlfn.XLOOKUP(R118&amp;Y118,[3]装备属性!$E$62:$E$277&amp;[3]装备属性!$G$62:$G$277,[3]装备属性!$I$62:$I$277)*6+IFERROR(_xlfn.XLOOKUP(R118&amp;Y118,[3]装备属性!$D$309:$D$557&amp;[3]装备属性!$F$309:$F$557,[3]装备属性!$H$309:$H$557)*AE118*6,0)+VLOOKUP(F251,$V$209:$X$216,3,0)*R251+100</f>
        <v>4786</v>
      </c>
      <c r="G118" s="86" cm="1">
        <f ca="1" t="array" ref="G118">_xlfn.XLOOKUP(M118,[3]装备属性!$D$571:$D$870,[3]装备属性!$I$571:$I$870)*6+_xlfn.XLOOKUP(S118&amp;Z118,[3]装备属性!$E$62:$E$277&amp;[3]装备属性!$G$62:$G$277,[3]装备属性!$I$62:$I$277)*6+IFERROR(_xlfn.XLOOKUP(S118&amp;Z118,[3]装备属性!$D$309:$D$557&amp;[3]装备属性!$F$309:$F$557,[3]装备属性!$H$309:$H$557)*AF118*6,0)+VLOOKUP(G251,$V$209:$X$216,3,0)*S251+100</f>
        <v>5074</v>
      </c>
      <c r="H118" s="86" cm="1">
        <f ca="1" t="array" ref="H118">_xlfn.XLOOKUP(N118,[3]装备属性!$D$571:$D$870,[3]装备属性!$I$571:$I$870)*6+_xlfn.XLOOKUP(T118&amp;AA118,[3]装备属性!$E$62:$E$277&amp;[3]装备属性!$G$62:$G$277,[3]装备属性!$I$62:$I$277)*6+IFERROR(_xlfn.XLOOKUP(T118&amp;AA118,[3]装备属性!$D$309:$D$557&amp;[3]装备属性!$F$309:$F$557,[3]装备属性!$H$309:$H$557)*AG118*6,0)+VLOOKUP(H251,$V$209:$X$216,3,0)*T251+100</f>
        <v>6562</v>
      </c>
      <c r="J118" s="19">
        <v>42</v>
      </c>
      <c r="K118" s="19">
        <v>63</v>
      </c>
      <c r="L118" s="19">
        <v>69</v>
      </c>
      <c r="M118" s="19">
        <v>73</v>
      </c>
      <c r="N118" s="19">
        <v>78</v>
      </c>
      <c r="P118" s="19">
        <v>42</v>
      </c>
      <c r="Q118" s="19">
        <v>80</v>
      </c>
      <c r="R118" s="19">
        <v>80</v>
      </c>
      <c r="S118" s="19">
        <v>80</v>
      </c>
      <c r="T118" s="19">
        <v>100</v>
      </c>
      <c r="W118" s="19">
        <v>42</v>
      </c>
      <c r="X118" s="19" t="str">
        <f t="shared" si="4"/>
        <v>粉</v>
      </c>
      <c r="Y118" s="19" t="str">
        <f t="shared" si="5"/>
        <v>粉</v>
      </c>
      <c r="Z118" s="19" t="str">
        <f t="shared" si="6"/>
        <v>粉</v>
      </c>
      <c r="AA118" s="19" t="str">
        <f t="shared" si="7"/>
        <v>彩</v>
      </c>
      <c r="AC118" s="19">
        <v>42</v>
      </c>
      <c r="AD118" s="19">
        <v>0</v>
      </c>
      <c r="AE118" s="19">
        <v>0</v>
      </c>
      <c r="AF118" s="19">
        <v>0</v>
      </c>
      <c r="AG118" s="19">
        <v>0</v>
      </c>
    </row>
    <row r="119" outlineLevel="1" spans="4:33">
      <c r="D119" s="19">
        <v>43</v>
      </c>
      <c r="E119" s="86" cm="1">
        <f ca="1" t="array" ref="E119">_xlfn.XLOOKUP(K119,[3]装备属性!$D$571:$D$870,[3]装备属性!$I$571:$I$870)*6+_xlfn.XLOOKUP(Q119&amp;X119,[3]装备属性!$E$62:$E$277&amp;[3]装备属性!$G$62:$G$277,[3]装备属性!$I$62:$I$277)*6+IFERROR(_xlfn.XLOOKUP(Q119&amp;X119,[3]装备属性!$D$309:$D$557&amp;[3]装备属性!$F$309:$F$557,[3]装备属性!$H$309:$H$557)*AD119*6,0)+VLOOKUP(E252,$V$209:$X$216,3,0)*Q252+100</f>
        <v>4396</v>
      </c>
      <c r="F119" s="86" cm="1">
        <f ca="1" t="array" ref="F119">_xlfn.XLOOKUP(L119,[3]装备属性!$D$571:$D$870,[3]装备属性!$I$571:$I$870)*6+_xlfn.XLOOKUP(R119&amp;Y119,[3]装备属性!$E$62:$E$277&amp;[3]装备属性!$G$62:$G$277,[3]装备属性!$I$62:$I$277)*6+IFERROR(_xlfn.XLOOKUP(R119&amp;Y119,[3]装备属性!$D$309:$D$557&amp;[3]装备属性!$F$309:$F$557,[3]装备属性!$H$309:$H$557)*AE119*6,0)+VLOOKUP(F252,$V$209:$X$216,3,0)*R252+100</f>
        <v>5098</v>
      </c>
      <c r="G119" s="86" cm="1">
        <f ca="1" t="array" ref="G119">_xlfn.XLOOKUP(M119,[3]装备属性!$D$571:$D$870,[3]装备属性!$I$571:$I$870)*6+_xlfn.XLOOKUP(S119&amp;Z119,[3]装备属性!$E$62:$E$277&amp;[3]装备属性!$G$62:$G$277,[3]装备属性!$I$62:$I$277)*6+IFERROR(_xlfn.XLOOKUP(S119&amp;Z119,[3]装备属性!$D$309:$D$557&amp;[3]装备属性!$F$309:$F$557,[3]装备属性!$H$309:$H$557)*AF119*6,0)+VLOOKUP(G252,$V$209:$X$216,3,0)*S252+100</f>
        <v>5386</v>
      </c>
      <c r="H119" s="86" cm="1">
        <f ca="1" t="array" ref="H119">_xlfn.XLOOKUP(N119,[3]装备属性!$D$571:$D$870,[3]装备属性!$I$571:$I$870)*6+_xlfn.XLOOKUP(T119&amp;AA119,[3]装备属性!$E$62:$E$277&amp;[3]装备属性!$G$62:$G$277,[3]装备属性!$I$62:$I$277)*6+IFERROR(_xlfn.XLOOKUP(T119&amp;AA119,[3]装备属性!$D$309:$D$557&amp;[3]装备属性!$F$309:$F$557,[3]装备属性!$H$309:$H$557)*AG119*6,0)+VLOOKUP(H252,$V$209:$X$216,3,0)*T252+100</f>
        <v>6634</v>
      </c>
      <c r="J119" s="19">
        <v>43</v>
      </c>
      <c r="K119" s="19">
        <v>64</v>
      </c>
      <c r="L119" s="19">
        <v>70</v>
      </c>
      <c r="M119" s="19">
        <v>74</v>
      </c>
      <c r="N119" s="19">
        <v>79</v>
      </c>
      <c r="P119" s="19">
        <v>43</v>
      </c>
      <c r="Q119" s="19">
        <v>80</v>
      </c>
      <c r="R119" s="19">
        <v>90</v>
      </c>
      <c r="S119" s="19">
        <v>90</v>
      </c>
      <c r="T119" s="19">
        <v>100</v>
      </c>
      <c r="W119" s="19">
        <v>43</v>
      </c>
      <c r="X119" s="19" t="str">
        <f t="shared" si="4"/>
        <v>粉</v>
      </c>
      <c r="Y119" s="19" t="str">
        <f t="shared" si="5"/>
        <v>粉</v>
      </c>
      <c r="Z119" s="19" t="str">
        <f t="shared" si="6"/>
        <v>粉</v>
      </c>
      <c r="AA119" s="19" t="str">
        <f t="shared" si="7"/>
        <v>彩</v>
      </c>
      <c r="AC119" s="19">
        <v>43</v>
      </c>
      <c r="AD119" s="19">
        <v>0</v>
      </c>
      <c r="AE119" s="19">
        <v>0</v>
      </c>
      <c r="AF119" s="19">
        <v>0</v>
      </c>
      <c r="AG119" s="19">
        <v>0</v>
      </c>
    </row>
    <row r="120" outlineLevel="1" spans="4:33">
      <c r="D120" s="19">
        <v>44</v>
      </c>
      <c r="E120" s="86" cm="1">
        <f ca="1" t="array" ref="E120">_xlfn.XLOOKUP(K120,[3]装备属性!$D$571:$D$870,[3]装备属性!$I$571:$I$870)*6+_xlfn.XLOOKUP(Q120&amp;X120,[3]装备属性!$E$62:$E$277&amp;[3]装备属性!$G$62:$G$277,[3]装备属性!$I$62:$I$277)*6+IFERROR(_xlfn.XLOOKUP(Q120&amp;X120,[3]装备属性!$D$309:$D$557&amp;[3]装备属性!$F$309:$F$557,[3]装备属性!$H$309:$H$557)*AD120*6,0)+VLOOKUP(E253,$V$209:$X$216,3,0)*Q253+100</f>
        <v>4456</v>
      </c>
      <c r="F120" s="86" cm="1">
        <f ca="1" t="array" ref="F120">_xlfn.XLOOKUP(L120,[3]装备属性!$D$571:$D$870,[3]装备属性!$I$571:$I$870)*6+_xlfn.XLOOKUP(R120&amp;Y120,[3]装备属性!$E$62:$E$277&amp;[3]装备属性!$G$62:$G$277,[3]装备属性!$I$62:$I$277)*6+IFERROR(_xlfn.XLOOKUP(R120&amp;Y120,[3]装备属性!$D$309:$D$557&amp;[3]装备属性!$F$309:$F$557,[3]装备属性!$H$309:$H$557)*AE120*6,0)+VLOOKUP(F253,$V$209:$X$216,3,0)*R253+100</f>
        <v>5098</v>
      </c>
      <c r="G120" s="86" cm="1">
        <f ca="1" t="array" ref="G120">_xlfn.XLOOKUP(M120,[3]装备属性!$D$571:$D$870,[3]装备属性!$I$571:$I$870)*6+_xlfn.XLOOKUP(S120&amp;Z120,[3]装备属性!$E$62:$E$277&amp;[3]装备属性!$G$62:$G$277,[3]装备属性!$I$62:$I$277)*6+IFERROR(_xlfn.XLOOKUP(S120&amp;Z120,[3]装备属性!$D$309:$D$557&amp;[3]装备属性!$F$309:$F$557,[3]装备属性!$H$309:$H$557)*AF120*6,0)+VLOOKUP(G253,$V$209:$X$216,3,0)*S253+100</f>
        <v>5458</v>
      </c>
      <c r="H120" s="86" cm="1">
        <f ca="1" t="array" ref="H120">_xlfn.XLOOKUP(N120,[3]装备属性!$D$571:$D$870,[3]装备属性!$I$571:$I$870)*6+_xlfn.XLOOKUP(T120&amp;AA120,[3]装备属性!$E$62:$E$277&amp;[3]装备属性!$G$62:$G$277,[3]装备属性!$I$62:$I$277)*6+IFERROR(_xlfn.XLOOKUP(T120&amp;AA120,[3]装备属性!$D$309:$D$557&amp;[3]装备属性!$F$309:$F$557,[3]装备属性!$H$309:$H$557)*AG120*6,0)+VLOOKUP(H253,$V$209:$X$216,3,0)*T253+100</f>
        <v>6730</v>
      </c>
      <c r="J120" s="19">
        <v>44</v>
      </c>
      <c r="K120" s="19">
        <v>65</v>
      </c>
      <c r="L120" s="19">
        <v>70</v>
      </c>
      <c r="M120" s="19">
        <v>75</v>
      </c>
      <c r="N120" s="19">
        <v>80</v>
      </c>
      <c r="P120" s="19">
        <v>44</v>
      </c>
      <c r="Q120" s="19">
        <v>80</v>
      </c>
      <c r="R120" s="19">
        <v>90</v>
      </c>
      <c r="S120" s="19">
        <v>90</v>
      </c>
      <c r="T120" s="19">
        <v>100</v>
      </c>
      <c r="W120" s="19">
        <v>44</v>
      </c>
      <c r="X120" s="19" t="str">
        <f t="shared" si="4"/>
        <v>粉</v>
      </c>
      <c r="Y120" s="19" t="str">
        <f t="shared" si="5"/>
        <v>粉</v>
      </c>
      <c r="Z120" s="19" t="str">
        <f t="shared" si="6"/>
        <v>粉</v>
      </c>
      <c r="AA120" s="19" t="str">
        <f t="shared" si="7"/>
        <v>彩</v>
      </c>
      <c r="AC120" s="19">
        <v>44</v>
      </c>
      <c r="AD120" s="19">
        <v>0</v>
      </c>
      <c r="AE120" s="19">
        <v>0</v>
      </c>
      <c r="AF120" s="19">
        <v>0</v>
      </c>
      <c r="AG120" s="19">
        <v>0</v>
      </c>
    </row>
    <row r="121" outlineLevel="1" spans="4:33">
      <c r="D121" s="19">
        <v>45</v>
      </c>
      <c r="E121" s="86" cm="1">
        <f ca="1" t="array" ref="E121">_xlfn.XLOOKUP(K121,[3]装备属性!$D$571:$D$870,[3]装备属性!$I$571:$I$870)*6+_xlfn.XLOOKUP(Q121&amp;X121,[3]装备属性!$E$62:$E$277&amp;[3]装备属性!$G$62:$G$277,[3]装备属性!$I$62:$I$277)*6+IFERROR(_xlfn.XLOOKUP(Q121&amp;X121,[3]装备属性!$D$309:$D$557&amp;[3]装备属性!$F$309:$F$557,[3]装备属性!$H$309:$H$557)*AD121*6,0)+VLOOKUP(E254,$V$209:$X$216,3,0)*Q254+100</f>
        <v>4456</v>
      </c>
      <c r="F121" s="86" cm="1">
        <f ca="1" t="array" ref="F121">_xlfn.XLOOKUP(L121,[3]装备属性!$D$571:$D$870,[3]装备属性!$I$571:$I$870)*6+_xlfn.XLOOKUP(R121&amp;Y121,[3]装备属性!$E$62:$E$277&amp;[3]装备属性!$G$62:$G$277,[3]装备属性!$I$62:$I$277)*6+IFERROR(_xlfn.XLOOKUP(R121&amp;Y121,[3]装备属性!$D$309:$D$557&amp;[3]装备属性!$F$309:$F$557,[3]装备属性!$H$309:$H$557)*AE121*6,0)+VLOOKUP(F254,$V$209:$X$216,3,0)*R254+100</f>
        <v>5170</v>
      </c>
      <c r="G121" s="86" cm="1">
        <f ca="1" t="array" ref="G121">_xlfn.XLOOKUP(M121,[3]装备属性!$D$571:$D$870,[3]装备属性!$I$571:$I$870)*6+_xlfn.XLOOKUP(S121&amp;Z121,[3]装备属性!$E$62:$E$277&amp;[3]装备属性!$G$62:$G$277,[3]装备属性!$I$62:$I$277)*6+IFERROR(_xlfn.XLOOKUP(S121&amp;Z121,[3]装备属性!$D$309:$D$557&amp;[3]装备属性!$F$309:$F$557,[3]装备属性!$H$309:$H$557)*AF121*6,0)+VLOOKUP(G254,$V$209:$X$216,3,0)*S254+100</f>
        <v>5530</v>
      </c>
      <c r="H121" s="86" cm="1">
        <f ca="1" t="array" ref="H121">_xlfn.XLOOKUP(N121,[3]装备属性!$D$571:$D$870,[3]装备属性!$I$571:$I$870)*6+_xlfn.XLOOKUP(T121&amp;AA121,[3]装备属性!$E$62:$E$277&amp;[3]装备属性!$G$62:$G$277,[3]装备属性!$I$62:$I$277)*6+IFERROR(_xlfn.XLOOKUP(T121&amp;AA121,[3]装备属性!$D$309:$D$557&amp;[3]装备属性!$F$309:$F$557,[3]装备属性!$H$309:$H$557)*AG121*6,0)+VLOOKUP(H254,$V$209:$X$216,3,0)*T254+100</f>
        <v>6730</v>
      </c>
      <c r="J121" s="19">
        <v>45</v>
      </c>
      <c r="K121" s="19">
        <v>65</v>
      </c>
      <c r="L121" s="19">
        <v>71</v>
      </c>
      <c r="M121" s="19">
        <v>76</v>
      </c>
      <c r="N121" s="19">
        <v>80</v>
      </c>
      <c r="P121" s="19">
        <v>45</v>
      </c>
      <c r="Q121" s="19">
        <v>80</v>
      </c>
      <c r="R121" s="19">
        <v>90</v>
      </c>
      <c r="S121" s="19">
        <v>90</v>
      </c>
      <c r="T121" s="19">
        <v>100</v>
      </c>
      <c r="W121" s="19">
        <v>45</v>
      </c>
      <c r="X121" s="19" t="str">
        <f t="shared" si="4"/>
        <v>粉</v>
      </c>
      <c r="Y121" s="19" t="str">
        <f t="shared" si="5"/>
        <v>粉</v>
      </c>
      <c r="Z121" s="19" t="str">
        <f t="shared" si="6"/>
        <v>粉</v>
      </c>
      <c r="AA121" s="19" t="str">
        <f t="shared" si="7"/>
        <v>彩</v>
      </c>
      <c r="AC121" s="19">
        <v>45</v>
      </c>
      <c r="AD121" s="19">
        <v>0</v>
      </c>
      <c r="AE121" s="19">
        <v>0</v>
      </c>
      <c r="AF121" s="19">
        <v>0</v>
      </c>
      <c r="AG121" s="19">
        <v>0</v>
      </c>
    </row>
    <row r="122" outlineLevel="1" spans="4:33">
      <c r="D122" s="19">
        <v>46</v>
      </c>
      <c r="E122" s="86" cm="1">
        <f ca="1" t="array" ref="E122">_xlfn.XLOOKUP(K122,[3]装备属性!$D$571:$D$870,[3]装备属性!$I$571:$I$870)*6+_xlfn.XLOOKUP(Q122&amp;X122,[3]装备属性!$E$62:$E$277&amp;[3]装备属性!$G$62:$G$277,[3]装备属性!$I$62:$I$277)*6+IFERROR(_xlfn.XLOOKUP(Q122&amp;X122,[3]装备属性!$D$309:$D$557&amp;[3]装备属性!$F$309:$F$557,[3]装备属性!$H$309:$H$557)*AD122*6,0)+VLOOKUP(E255,$V$209:$X$216,3,0)*Q255+100</f>
        <v>4516</v>
      </c>
      <c r="F122" s="86" cm="1">
        <f ca="1" t="array" ref="F122">_xlfn.XLOOKUP(L122,[3]装备属性!$D$571:$D$870,[3]装备属性!$I$571:$I$870)*6+_xlfn.XLOOKUP(R122&amp;Y122,[3]装备属性!$E$62:$E$277&amp;[3]装备属性!$G$62:$G$277,[3]装备属性!$I$62:$I$277)*6+IFERROR(_xlfn.XLOOKUP(R122&amp;Y122,[3]装备属性!$D$309:$D$557&amp;[3]装备属性!$F$309:$F$557,[3]装备属性!$H$309:$H$557)*AE122*6,0)+VLOOKUP(F255,$V$209:$X$216,3,0)*R255+100</f>
        <v>5242</v>
      </c>
      <c r="G122" s="86" cm="1">
        <f ca="1" t="array" ref="G122">_xlfn.XLOOKUP(M122,[3]装备属性!$D$571:$D$870,[3]装备属性!$I$571:$I$870)*6+_xlfn.XLOOKUP(S122&amp;Z122,[3]装备属性!$E$62:$E$277&amp;[3]装备属性!$G$62:$G$277,[3]装备属性!$I$62:$I$277)*6+IFERROR(_xlfn.XLOOKUP(S122&amp;Z122,[3]装备属性!$D$309:$D$557&amp;[3]装备属性!$F$309:$F$557,[3]装备属性!$H$309:$H$557)*AF122*6,0)+VLOOKUP(G255,$V$209:$X$216,3,0)*S255+100</f>
        <v>5530</v>
      </c>
      <c r="H122" s="86" cm="1">
        <f ca="1" t="array" ref="H122">_xlfn.XLOOKUP(N122,[3]装备属性!$D$571:$D$870,[3]装备属性!$I$571:$I$870)*6+_xlfn.XLOOKUP(T122&amp;AA122,[3]装备属性!$E$62:$E$277&amp;[3]装备属性!$G$62:$G$277,[3]装备属性!$I$62:$I$277)*6+IFERROR(_xlfn.XLOOKUP(T122&amp;AA122,[3]装备属性!$D$309:$D$557&amp;[3]装备属性!$F$309:$F$557,[3]装备属性!$H$309:$H$557)*AG122*6,0)+VLOOKUP(H255,$V$209:$X$216,3,0)*T255+100</f>
        <v>6826</v>
      </c>
      <c r="J122" s="19">
        <v>46</v>
      </c>
      <c r="K122" s="19">
        <v>66</v>
      </c>
      <c r="L122" s="19">
        <v>72</v>
      </c>
      <c r="M122" s="19">
        <v>76</v>
      </c>
      <c r="N122" s="19">
        <v>81</v>
      </c>
      <c r="P122" s="19">
        <v>46</v>
      </c>
      <c r="Q122" s="19">
        <v>80</v>
      </c>
      <c r="R122" s="19">
        <v>90</v>
      </c>
      <c r="S122" s="19">
        <v>90</v>
      </c>
      <c r="T122" s="19">
        <v>100</v>
      </c>
      <c r="W122" s="19">
        <v>46</v>
      </c>
      <c r="X122" s="19" t="str">
        <f t="shared" si="4"/>
        <v>粉</v>
      </c>
      <c r="Y122" s="19" t="str">
        <f t="shared" si="5"/>
        <v>粉</v>
      </c>
      <c r="Z122" s="19" t="str">
        <f t="shared" si="6"/>
        <v>粉</v>
      </c>
      <c r="AA122" s="19" t="str">
        <f t="shared" si="7"/>
        <v>彩</v>
      </c>
      <c r="AC122" s="19">
        <v>46</v>
      </c>
      <c r="AD122" s="19">
        <v>0</v>
      </c>
      <c r="AE122" s="19">
        <v>0</v>
      </c>
      <c r="AF122" s="19">
        <v>0</v>
      </c>
      <c r="AG122" s="19">
        <v>0</v>
      </c>
    </row>
    <row r="123" outlineLevel="1" spans="4:33">
      <c r="D123" s="19">
        <v>47</v>
      </c>
      <c r="E123" s="86" cm="1">
        <f ca="1" t="array" ref="E123">_xlfn.XLOOKUP(K123,[3]装备属性!$D$571:$D$870,[3]装备属性!$I$571:$I$870)*6+_xlfn.XLOOKUP(Q123&amp;X123,[3]装备属性!$E$62:$E$277&amp;[3]装备属性!$G$62:$G$277,[3]装备属性!$I$62:$I$277)*6+IFERROR(_xlfn.XLOOKUP(Q123&amp;X123,[3]装备属性!$D$309:$D$557&amp;[3]装备属性!$F$309:$F$557,[3]装备属性!$H$309:$H$557)*AD123*6,0)+VLOOKUP(E256,$V$209:$X$216,3,0)*Q256+100</f>
        <v>4576</v>
      </c>
      <c r="F123" s="86" cm="1">
        <f ca="1" t="array" ref="F123">_xlfn.XLOOKUP(L123,[3]装备属性!$D$571:$D$870,[3]装备属性!$I$571:$I$870)*6+_xlfn.XLOOKUP(R123&amp;Y123,[3]装备属性!$E$62:$E$277&amp;[3]装备属性!$G$62:$G$277,[3]装备属性!$I$62:$I$277)*6+IFERROR(_xlfn.XLOOKUP(R123&amp;Y123,[3]装备属性!$D$309:$D$557&amp;[3]装备属性!$F$309:$F$557,[3]装备属性!$H$309:$H$557)*AE123*6,0)+VLOOKUP(F256,$V$209:$X$216,3,0)*R256+100</f>
        <v>5314</v>
      </c>
      <c r="G123" s="86" cm="1">
        <f ca="1" t="array" ref="G123">_xlfn.XLOOKUP(M123,[3]装备属性!$D$571:$D$870,[3]装备属性!$I$571:$I$870)*6+_xlfn.XLOOKUP(S123&amp;Z123,[3]装备属性!$E$62:$E$277&amp;[3]装备属性!$G$62:$G$277,[3]装备属性!$I$62:$I$277)*6+IFERROR(_xlfn.XLOOKUP(S123&amp;Z123,[3]装备属性!$D$309:$D$557&amp;[3]装备属性!$F$309:$F$557,[3]装备属性!$H$309:$H$557)*AF123*6,0)+VLOOKUP(G256,$V$209:$X$216,3,0)*S256+100</f>
        <v>5602</v>
      </c>
      <c r="H123" s="86" cm="1">
        <f ca="1" t="array" ref="H123">_xlfn.XLOOKUP(N123,[3]装备属性!$D$571:$D$870,[3]装备属性!$I$571:$I$870)*6+_xlfn.XLOOKUP(T123&amp;AA123,[3]装备属性!$E$62:$E$277&amp;[3]装备属性!$G$62:$G$277,[3]装备属性!$I$62:$I$277)*6+IFERROR(_xlfn.XLOOKUP(T123&amp;AA123,[3]装备属性!$D$309:$D$557&amp;[3]装备属性!$F$309:$F$557,[3]装备属性!$H$309:$H$557)*AG123*6,0)+VLOOKUP(H256,$V$209:$X$216,3,0)*T256+100</f>
        <v>7312</v>
      </c>
      <c r="J123" s="19">
        <v>47</v>
      </c>
      <c r="K123" s="19">
        <v>67</v>
      </c>
      <c r="L123" s="19">
        <v>73</v>
      </c>
      <c r="M123" s="19">
        <v>77</v>
      </c>
      <c r="N123" s="19">
        <v>82</v>
      </c>
      <c r="P123" s="19">
        <v>47</v>
      </c>
      <c r="Q123" s="19">
        <v>80</v>
      </c>
      <c r="R123" s="19">
        <v>90</v>
      </c>
      <c r="S123" s="19">
        <v>90</v>
      </c>
      <c r="T123" s="19">
        <v>110</v>
      </c>
      <c r="W123" s="19">
        <v>47</v>
      </c>
      <c r="X123" s="19" t="str">
        <f t="shared" si="4"/>
        <v>粉</v>
      </c>
      <c r="Y123" s="19" t="str">
        <f t="shared" si="5"/>
        <v>粉</v>
      </c>
      <c r="Z123" s="19" t="str">
        <f t="shared" si="6"/>
        <v>粉</v>
      </c>
      <c r="AA123" s="19" t="str">
        <f t="shared" si="7"/>
        <v>彩</v>
      </c>
      <c r="AC123" s="19">
        <v>47</v>
      </c>
      <c r="AD123" s="19">
        <v>0</v>
      </c>
      <c r="AE123" s="19">
        <v>0</v>
      </c>
      <c r="AF123" s="19">
        <v>0</v>
      </c>
      <c r="AG123" s="19">
        <v>0</v>
      </c>
    </row>
    <row r="124" outlineLevel="1" spans="4:33">
      <c r="D124" s="19">
        <v>48</v>
      </c>
      <c r="E124" s="86" cm="1">
        <f ca="1" t="array" ref="E124">_xlfn.XLOOKUP(K124,[3]装备属性!$D$571:$D$870,[3]装备属性!$I$571:$I$870)*6+_xlfn.XLOOKUP(Q124&amp;X124,[3]装备属性!$E$62:$E$277&amp;[3]装备属性!$G$62:$G$277,[3]装备属性!$I$62:$I$277)*6+IFERROR(_xlfn.XLOOKUP(Q124&amp;X124,[3]装备属性!$D$309:$D$557&amp;[3]装备属性!$F$309:$F$557,[3]装备属性!$H$309:$H$557)*AD124*6,0)+VLOOKUP(E257,$V$209:$X$216,3,0)*Q257+100</f>
        <v>4576</v>
      </c>
      <c r="F124" s="86" cm="1">
        <f ca="1" t="array" ref="F124">_xlfn.XLOOKUP(L124,[3]装备属性!$D$571:$D$870,[3]装备属性!$I$571:$I$870)*6+_xlfn.XLOOKUP(R124&amp;Y124,[3]装备属性!$E$62:$E$277&amp;[3]装备属性!$G$62:$G$277,[3]装备属性!$I$62:$I$277)*6+IFERROR(_xlfn.XLOOKUP(R124&amp;Y124,[3]装备属性!$D$309:$D$557&amp;[3]装备属性!$F$309:$F$557,[3]装备属性!$H$309:$H$557)*AE124*6,0)+VLOOKUP(F257,$V$209:$X$216,3,0)*R257+100</f>
        <v>5386</v>
      </c>
      <c r="G124" s="86" cm="1">
        <f ca="1" t="array" ref="G124">_xlfn.XLOOKUP(M124,[3]装备属性!$D$571:$D$870,[3]装备属性!$I$571:$I$870)*6+_xlfn.XLOOKUP(S124&amp;Z124,[3]装备属性!$E$62:$E$277&amp;[3]装备属性!$G$62:$G$277,[3]装备属性!$I$62:$I$277)*6+IFERROR(_xlfn.XLOOKUP(S124&amp;Z124,[3]装备属性!$D$309:$D$557&amp;[3]装备属性!$F$309:$F$557,[3]装备属性!$H$309:$H$557)*AF124*6,0)+VLOOKUP(G257,$V$209:$X$216,3,0)*S257+100</f>
        <v>5674</v>
      </c>
      <c r="H124" s="86" cm="1">
        <f ca="1" t="array" ref="H124">_xlfn.XLOOKUP(N124,[3]装备属性!$D$571:$D$870,[3]装备属性!$I$571:$I$870)*6+_xlfn.XLOOKUP(T124&amp;AA124,[3]装备属性!$E$62:$E$277&amp;[3]装备属性!$G$62:$G$277,[3]装备属性!$I$62:$I$277)*6+IFERROR(_xlfn.XLOOKUP(T124&amp;AA124,[3]装备属性!$D$309:$D$557&amp;[3]装备属性!$F$309:$F$557,[3]装备属性!$H$309:$H$557)*AG124*6,0)+VLOOKUP(H257,$V$209:$X$216,3,0)*T257+100</f>
        <v>7408</v>
      </c>
      <c r="J124" s="19">
        <v>48</v>
      </c>
      <c r="K124" s="19">
        <v>67</v>
      </c>
      <c r="L124" s="19">
        <v>74</v>
      </c>
      <c r="M124" s="19">
        <v>78</v>
      </c>
      <c r="N124" s="19">
        <v>83</v>
      </c>
      <c r="P124" s="19">
        <v>48</v>
      </c>
      <c r="Q124" s="19">
        <v>80</v>
      </c>
      <c r="R124" s="19">
        <v>90</v>
      </c>
      <c r="S124" s="19">
        <v>90</v>
      </c>
      <c r="T124" s="19">
        <v>110</v>
      </c>
      <c r="W124" s="19">
        <v>48</v>
      </c>
      <c r="X124" s="19" t="str">
        <f t="shared" si="4"/>
        <v>粉</v>
      </c>
      <c r="Y124" s="19" t="str">
        <f t="shared" si="5"/>
        <v>粉</v>
      </c>
      <c r="Z124" s="19" t="str">
        <f t="shared" si="6"/>
        <v>粉</v>
      </c>
      <c r="AA124" s="19" t="str">
        <f t="shared" si="7"/>
        <v>彩</v>
      </c>
      <c r="AC124" s="19">
        <v>48</v>
      </c>
      <c r="AD124" s="19">
        <v>0</v>
      </c>
      <c r="AE124" s="19">
        <v>0</v>
      </c>
      <c r="AF124" s="19">
        <v>0</v>
      </c>
      <c r="AG124" s="19">
        <v>0</v>
      </c>
    </row>
    <row r="125" outlineLevel="1" spans="4:33">
      <c r="D125" s="19">
        <v>49</v>
      </c>
      <c r="E125" s="86" cm="1">
        <f ca="1" t="array" ref="E125">_xlfn.XLOOKUP(K125,[3]装备属性!$D$571:$D$870,[3]装备属性!$I$571:$I$870)*6+_xlfn.XLOOKUP(Q125&amp;X125,[3]装备属性!$E$62:$E$277&amp;[3]装备属性!$G$62:$G$277,[3]装备属性!$I$62:$I$277)*6+IFERROR(_xlfn.XLOOKUP(Q125&amp;X125,[3]装备属性!$D$309:$D$557&amp;[3]装备属性!$F$309:$F$557,[3]装备属性!$H$309:$H$557)*AD125*6,0)+VLOOKUP(E258,$V$209:$X$216,3,0)*Q258+100</f>
        <v>4876</v>
      </c>
      <c r="F125" s="86" cm="1">
        <f ca="1" t="array" ref="F125">_xlfn.XLOOKUP(L125,[3]装备属性!$D$571:$D$870,[3]装备属性!$I$571:$I$870)*6+_xlfn.XLOOKUP(R125&amp;Y125,[3]装备属性!$E$62:$E$277&amp;[3]装备属性!$G$62:$G$277,[3]装备属性!$I$62:$I$277)*6+IFERROR(_xlfn.XLOOKUP(R125&amp;Y125,[3]装备属性!$D$309:$D$557&amp;[3]装备属性!$F$309:$F$557,[3]装备属性!$H$309:$H$557)*AE125*6,0)+VLOOKUP(F258,$V$209:$X$216,3,0)*R258+100</f>
        <v>5386</v>
      </c>
      <c r="G125" s="86" cm="1">
        <f ca="1" t="array" ref="G125">_xlfn.XLOOKUP(M125,[3]装备属性!$D$571:$D$870,[3]装备属性!$I$571:$I$870)*6+_xlfn.XLOOKUP(S125&amp;Z125,[3]装备属性!$E$62:$E$277&amp;[3]装备属性!$G$62:$G$277,[3]装备属性!$I$62:$I$277)*6+IFERROR(_xlfn.XLOOKUP(S125&amp;Z125,[3]装备属性!$D$309:$D$557&amp;[3]装备属性!$F$309:$F$557,[3]装备属性!$H$309:$H$557)*AF125*6,0)+VLOOKUP(G258,$V$209:$X$216,3,0)*S258+100</f>
        <v>5746</v>
      </c>
      <c r="H125" s="86" cm="1">
        <f ca="1" t="array" ref="H125">_xlfn.XLOOKUP(N125,[3]装备属性!$D$571:$D$870,[3]装备属性!$I$571:$I$870)*6+_xlfn.XLOOKUP(T125&amp;AA125,[3]装备属性!$E$62:$E$277&amp;[3]装备属性!$G$62:$G$277,[3]装备属性!$I$62:$I$277)*6+IFERROR(_xlfn.XLOOKUP(T125&amp;AA125,[3]装备属性!$D$309:$D$557&amp;[3]装备属性!$F$309:$F$557,[3]装备属性!$H$309:$H$557)*AG125*6,0)+VLOOKUP(H258,$V$209:$X$216,3,0)*T258+100</f>
        <v>7504</v>
      </c>
      <c r="J125" s="19">
        <v>49</v>
      </c>
      <c r="K125" s="19">
        <v>68</v>
      </c>
      <c r="L125" s="19">
        <v>74</v>
      </c>
      <c r="M125" s="19">
        <v>79</v>
      </c>
      <c r="N125" s="19">
        <v>84</v>
      </c>
      <c r="P125" s="19">
        <v>49</v>
      </c>
      <c r="Q125" s="19">
        <v>90</v>
      </c>
      <c r="R125" s="19">
        <v>90</v>
      </c>
      <c r="S125" s="19">
        <v>90</v>
      </c>
      <c r="T125" s="19">
        <v>110</v>
      </c>
      <c r="W125" s="19">
        <v>49</v>
      </c>
      <c r="X125" s="19" t="str">
        <f t="shared" si="4"/>
        <v>粉</v>
      </c>
      <c r="Y125" s="19" t="str">
        <f t="shared" si="5"/>
        <v>粉</v>
      </c>
      <c r="Z125" s="19" t="str">
        <f t="shared" si="6"/>
        <v>粉</v>
      </c>
      <c r="AA125" s="19" t="str">
        <f t="shared" si="7"/>
        <v>彩</v>
      </c>
      <c r="AC125" s="19">
        <v>49</v>
      </c>
      <c r="AD125" s="19">
        <v>0</v>
      </c>
      <c r="AE125" s="19">
        <v>0</v>
      </c>
      <c r="AF125" s="19">
        <v>0</v>
      </c>
      <c r="AG125" s="19">
        <v>0</v>
      </c>
    </row>
    <row r="126" outlineLevel="1" spans="4:33">
      <c r="D126" s="19">
        <v>50</v>
      </c>
      <c r="E126" s="86" cm="1">
        <f ca="1" t="array" ref="E126">_xlfn.XLOOKUP(K126,[3]装备属性!$D$571:$D$870,[3]装备属性!$I$571:$I$870)*6+_xlfn.XLOOKUP(Q126&amp;X126,[3]装备属性!$E$62:$E$277&amp;[3]装备属性!$G$62:$G$277,[3]装备属性!$I$62:$I$277)*6+IFERROR(_xlfn.XLOOKUP(Q126&amp;X126,[3]装备属性!$D$309:$D$557&amp;[3]装备属性!$F$309:$F$557,[3]装备属性!$H$309:$H$557)*AD126*6,0)+VLOOKUP(E259,$V$209:$X$216,3,0)*Q259+100</f>
        <v>4936</v>
      </c>
      <c r="F126" s="86" cm="1">
        <f ca="1" t="array" ref="F126">_xlfn.XLOOKUP(L126,[3]装备属性!$D$571:$D$870,[3]装备属性!$I$571:$I$870)*6+_xlfn.XLOOKUP(R126&amp;Y126,[3]装备属性!$E$62:$E$277&amp;[3]装备属性!$G$62:$G$277,[3]装备属性!$I$62:$I$277)*6+IFERROR(_xlfn.XLOOKUP(R126&amp;Y126,[3]装备属性!$D$309:$D$557&amp;[3]装备属性!$F$309:$F$557,[3]装备属性!$H$309:$H$557)*AE126*6,0)+VLOOKUP(F259,$V$209:$X$216,3,0)*R259+100</f>
        <v>5458</v>
      </c>
      <c r="G126" s="86" cm="1">
        <f ca="1" t="array" ref="G126">_xlfn.XLOOKUP(M126,[3]装备属性!$D$571:$D$870,[3]装备属性!$I$571:$I$870)*6+_xlfn.XLOOKUP(S126&amp;Z126,[3]装备属性!$E$62:$E$277&amp;[3]装备属性!$G$62:$G$277,[3]装备属性!$I$62:$I$277)*6+IFERROR(_xlfn.XLOOKUP(S126&amp;Z126,[3]装备属性!$D$309:$D$557&amp;[3]装备属性!$F$309:$F$557,[3]装备属性!$H$309:$H$557)*AF126*6,0)+VLOOKUP(G259,$V$209:$X$216,3,0)*S259+100</f>
        <v>5842</v>
      </c>
      <c r="H126" s="86" cm="1">
        <f ca="1" t="array" ref="H126">_xlfn.XLOOKUP(N126,[3]装备属性!$D$571:$D$870,[3]装备属性!$I$571:$I$870)*6+_xlfn.XLOOKUP(T126&amp;AA126,[3]装备属性!$E$62:$E$277&amp;[3]装备属性!$G$62:$G$277,[3]装备属性!$I$62:$I$277)*6+IFERROR(_xlfn.XLOOKUP(T126&amp;AA126,[3]装备属性!$D$309:$D$557&amp;[3]装备属性!$F$309:$F$557,[3]装备属性!$H$309:$H$557)*AG126*6,0)+VLOOKUP(H259,$V$209:$X$216,3,0)*T259+100</f>
        <v>7600</v>
      </c>
      <c r="J126" s="19">
        <v>50</v>
      </c>
      <c r="K126" s="19">
        <v>69</v>
      </c>
      <c r="L126" s="19">
        <v>75</v>
      </c>
      <c r="M126" s="19">
        <v>80</v>
      </c>
      <c r="N126" s="19">
        <v>85</v>
      </c>
      <c r="P126" s="19">
        <v>50</v>
      </c>
      <c r="Q126" s="19">
        <v>90</v>
      </c>
      <c r="R126" s="19">
        <v>90</v>
      </c>
      <c r="S126" s="19">
        <v>90</v>
      </c>
      <c r="T126" s="19">
        <v>110</v>
      </c>
      <c r="W126" s="19">
        <v>50</v>
      </c>
      <c r="X126" s="19" t="str">
        <f t="shared" si="4"/>
        <v>粉</v>
      </c>
      <c r="Y126" s="19" t="str">
        <f t="shared" si="5"/>
        <v>粉</v>
      </c>
      <c r="Z126" s="19" t="str">
        <f t="shared" si="6"/>
        <v>粉</v>
      </c>
      <c r="AA126" s="19" t="str">
        <f t="shared" si="7"/>
        <v>彩</v>
      </c>
      <c r="AC126" s="19">
        <v>50</v>
      </c>
      <c r="AD126" s="19">
        <v>0</v>
      </c>
      <c r="AE126" s="19">
        <v>0</v>
      </c>
      <c r="AF126" s="19">
        <v>0</v>
      </c>
      <c r="AG126" s="19">
        <v>0</v>
      </c>
    </row>
    <row r="127" outlineLevel="1" spans="4:33">
      <c r="D127" s="19">
        <v>51</v>
      </c>
      <c r="E127" s="86" cm="1">
        <f ca="1" t="array" ref="E127">_xlfn.XLOOKUP(K127,[3]装备属性!$D$571:$D$870,[3]装备属性!$I$571:$I$870)*6+_xlfn.XLOOKUP(Q127&amp;X127,[3]装备属性!$E$62:$E$277&amp;[3]装备属性!$G$62:$G$277,[3]装备属性!$I$62:$I$277)*6+IFERROR(_xlfn.XLOOKUP(Q127&amp;X127,[3]装备属性!$D$309:$D$557&amp;[3]装备属性!$F$309:$F$557,[3]装备属性!$H$309:$H$557)*AD127*6,0)+VLOOKUP(E260,$V$209:$X$216,3,0)*Q260+100</f>
        <v>5008</v>
      </c>
      <c r="F127" s="86" cm="1">
        <f ca="1" t="array" ref="F127">_xlfn.XLOOKUP(L127,[3]装备属性!$D$571:$D$870,[3]装备属性!$I$571:$I$870)*6+_xlfn.XLOOKUP(R127&amp;Y127,[3]装备属性!$E$62:$E$277&amp;[3]装备属性!$G$62:$G$277,[3]装备属性!$I$62:$I$277)*6+IFERROR(_xlfn.XLOOKUP(R127&amp;Y127,[3]装备属性!$D$309:$D$557&amp;[3]装备属性!$F$309:$F$557,[3]装备属性!$H$309:$H$557)*AE127*6,0)+VLOOKUP(F260,$V$209:$X$216,3,0)*R260+100</f>
        <v>5530</v>
      </c>
      <c r="G127" s="86" cm="1">
        <f ca="1" t="array" ref="G127">_xlfn.XLOOKUP(M127,[3]装备属性!$D$571:$D$870,[3]装备属性!$I$571:$I$870)*6+_xlfn.XLOOKUP(S127&amp;Z127,[3]装备属性!$E$62:$E$277&amp;[3]装备属性!$G$62:$G$277,[3]装备属性!$I$62:$I$277)*6+IFERROR(_xlfn.XLOOKUP(S127&amp;Z127,[3]装备属性!$D$309:$D$557&amp;[3]装备属性!$F$309:$F$557,[3]装备属性!$H$309:$H$557)*AF127*6,0)+VLOOKUP(G260,$V$209:$X$216,3,0)*S260+100</f>
        <v>5938</v>
      </c>
      <c r="H127" s="86" cm="1">
        <f ca="1" t="array" ref="H127">_xlfn.XLOOKUP(N127,[3]装备属性!$D$571:$D$870,[3]装备属性!$I$571:$I$870)*6+_xlfn.XLOOKUP(T127&amp;AA127,[3]装备属性!$E$62:$E$277&amp;[3]装备属性!$G$62:$G$277,[3]装备属性!$I$62:$I$277)*6+IFERROR(_xlfn.XLOOKUP(T127&amp;AA127,[3]装备属性!$D$309:$D$557&amp;[3]装备属性!$F$309:$F$557,[3]装备属性!$H$309:$H$557)*AG127*6,0)+VLOOKUP(H260,$V$209:$X$216,3,0)*T260+100</f>
        <v>7696</v>
      </c>
      <c r="J127" s="19">
        <v>51</v>
      </c>
      <c r="K127" s="19">
        <v>70</v>
      </c>
      <c r="L127" s="19">
        <v>76</v>
      </c>
      <c r="M127" s="19">
        <v>81</v>
      </c>
      <c r="N127" s="19">
        <v>86</v>
      </c>
      <c r="P127" s="19">
        <v>51</v>
      </c>
      <c r="Q127" s="19">
        <v>90</v>
      </c>
      <c r="R127" s="19">
        <v>90</v>
      </c>
      <c r="S127" s="19">
        <v>90</v>
      </c>
      <c r="T127" s="19">
        <v>110</v>
      </c>
      <c r="W127" s="19">
        <v>51</v>
      </c>
      <c r="X127" s="19" t="str">
        <f t="shared" si="4"/>
        <v>粉</v>
      </c>
      <c r="Y127" s="19" t="str">
        <f t="shared" si="5"/>
        <v>粉</v>
      </c>
      <c r="Z127" s="19" t="str">
        <f t="shared" si="6"/>
        <v>粉</v>
      </c>
      <c r="AA127" s="19" t="str">
        <f t="shared" si="7"/>
        <v>彩</v>
      </c>
      <c r="AC127" s="19">
        <v>51</v>
      </c>
      <c r="AD127" s="19">
        <v>0</v>
      </c>
      <c r="AE127" s="19">
        <v>0</v>
      </c>
      <c r="AF127" s="19">
        <v>0</v>
      </c>
      <c r="AG127" s="19">
        <v>0</v>
      </c>
    </row>
    <row r="128" outlineLevel="1" spans="4:33">
      <c r="D128" s="19">
        <v>52</v>
      </c>
      <c r="E128" s="86" cm="1">
        <f ca="1" t="array" ref="E128">_xlfn.XLOOKUP(K128,[3]装备属性!$D$571:$D$870,[3]装备属性!$I$571:$I$870)*6+_xlfn.XLOOKUP(Q128&amp;X128,[3]装备属性!$E$62:$E$277&amp;[3]装备属性!$G$62:$G$277,[3]装备属性!$I$62:$I$277)*6+IFERROR(_xlfn.XLOOKUP(Q128&amp;X128,[3]装备属性!$D$309:$D$557&amp;[3]装备属性!$F$309:$F$557,[3]装备属性!$H$309:$H$557)*AD128*6,0)+VLOOKUP(E261,$V$209:$X$216,3,0)*Q261+100</f>
        <v>5008</v>
      </c>
      <c r="F128" s="86" cm="1">
        <f ca="1" t="array" ref="F128">_xlfn.XLOOKUP(L128,[3]装备属性!$D$571:$D$870,[3]装备属性!$I$571:$I$870)*6+_xlfn.XLOOKUP(R128&amp;Y128,[3]装备属性!$E$62:$E$277&amp;[3]装备属性!$G$62:$G$277,[3]装备属性!$I$62:$I$277)*6+IFERROR(_xlfn.XLOOKUP(R128&amp;Y128,[3]装备属性!$D$309:$D$557&amp;[3]装备属性!$F$309:$F$557,[3]装备属性!$H$309:$H$557)*AE128*6,0)+VLOOKUP(F261,$V$209:$X$216,3,0)*R261+100</f>
        <v>5602</v>
      </c>
      <c r="G128" s="86" cm="1">
        <f ca="1" t="array" ref="G128">_xlfn.XLOOKUP(M128,[3]装备属性!$D$571:$D$870,[3]装备属性!$I$571:$I$870)*6+_xlfn.XLOOKUP(S128&amp;Z128,[3]装备属性!$E$62:$E$277&amp;[3]装备属性!$G$62:$G$277,[3]装备属性!$I$62:$I$277)*6+IFERROR(_xlfn.XLOOKUP(S128&amp;Z128,[3]装备属性!$D$309:$D$557&amp;[3]装备属性!$F$309:$F$557,[3]装备属性!$H$309:$H$557)*AF128*6,0)+VLOOKUP(G261,$V$209:$X$216,3,0)*S261+100</f>
        <v>5938</v>
      </c>
      <c r="H128" s="86" cm="1">
        <f ca="1" t="array" ref="H128">_xlfn.XLOOKUP(N128,[3]装备属性!$D$571:$D$870,[3]装备属性!$I$571:$I$870)*6+_xlfn.XLOOKUP(T128&amp;AA128,[3]装备属性!$E$62:$E$277&amp;[3]装备属性!$G$62:$G$277,[3]装备属性!$I$62:$I$277)*6+IFERROR(_xlfn.XLOOKUP(T128&amp;AA128,[3]装备属性!$D$309:$D$557&amp;[3]装备属性!$F$309:$F$557,[3]装备属性!$H$309:$H$557)*AG128*6,0)+VLOOKUP(H261,$V$209:$X$216,3,0)*T261+100</f>
        <v>7792</v>
      </c>
      <c r="J128" s="19">
        <v>52</v>
      </c>
      <c r="K128" s="19">
        <v>70</v>
      </c>
      <c r="L128" s="19">
        <v>77</v>
      </c>
      <c r="M128" s="19">
        <v>81</v>
      </c>
      <c r="N128" s="19">
        <v>87</v>
      </c>
      <c r="P128" s="19">
        <v>52</v>
      </c>
      <c r="Q128" s="19">
        <v>90</v>
      </c>
      <c r="R128" s="19">
        <v>90</v>
      </c>
      <c r="S128" s="19">
        <v>90</v>
      </c>
      <c r="T128" s="19">
        <v>110</v>
      </c>
      <c r="W128" s="19">
        <v>52</v>
      </c>
      <c r="X128" s="19" t="str">
        <f t="shared" si="4"/>
        <v>粉</v>
      </c>
      <c r="Y128" s="19" t="str">
        <f t="shared" si="5"/>
        <v>粉</v>
      </c>
      <c r="Z128" s="19" t="str">
        <f t="shared" si="6"/>
        <v>粉</v>
      </c>
      <c r="AA128" s="19" t="str">
        <f t="shared" si="7"/>
        <v>彩</v>
      </c>
      <c r="AC128" s="19">
        <v>52</v>
      </c>
      <c r="AD128" s="19">
        <v>0</v>
      </c>
      <c r="AE128" s="19">
        <v>0</v>
      </c>
      <c r="AF128" s="19">
        <v>0</v>
      </c>
      <c r="AG128" s="19">
        <v>0</v>
      </c>
    </row>
    <row r="129" outlineLevel="1" spans="2:50">
      <c r="D129" s="19">
        <v>53</v>
      </c>
      <c r="E129" s="86" cm="1">
        <f ca="1" t="array" ref="E129">_xlfn.XLOOKUP(K129,[3]装备属性!$D$571:$D$870,[3]装备属性!$I$571:$I$870)*6+_xlfn.XLOOKUP(Q129&amp;X129,[3]装备属性!$E$62:$E$277&amp;[3]装备属性!$G$62:$G$277,[3]装备属性!$I$62:$I$277)*6+IFERROR(_xlfn.XLOOKUP(Q129&amp;X129,[3]装备属性!$D$309:$D$557&amp;[3]装备属性!$F$309:$F$557,[3]装备属性!$H$309:$H$557)*AD129*6,0)+VLOOKUP(E262,$V$209:$X$216,3,0)*Q262+100</f>
        <v>5080</v>
      </c>
      <c r="F129" s="86" cm="1">
        <f ca="1" t="array" ref="F129">_xlfn.XLOOKUP(L129,[3]装备属性!$D$571:$D$870,[3]装备属性!$I$571:$I$870)*6+_xlfn.XLOOKUP(R129&amp;Y129,[3]装备属性!$E$62:$E$277&amp;[3]装备属性!$G$62:$G$277,[3]装备属性!$I$62:$I$277)*6+IFERROR(_xlfn.XLOOKUP(R129&amp;Y129,[3]装备属性!$D$309:$D$557&amp;[3]装备属性!$F$309:$F$557,[3]装备属性!$H$309:$H$557)*AE129*6,0)+VLOOKUP(F262,$V$209:$X$216,3,0)*R262+100</f>
        <v>5602</v>
      </c>
      <c r="G129" s="86" cm="1">
        <f ca="1" t="array" ref="G129">_xlfn.XLOOKUP(M129,[3]装备属性!$D$571:$D$870,[3]装备属性!$I$571:$I$870)*6+_xlfn.XLOOKUP(S129&amp;Z129,[3]装备属性!$E$62:$E$277&amp;[3]装备属性!$G$62:$G$277,[3]装备属性!$I$62:$I$277)*6+IFERROR(_xlfn.XLOOKUP(S129&amp;Z129,[3]装备属性!$D$309:$D$557&amp;[3]装备属性!$F$309:$F$557,[3]装备属性!$H$309:$H$557)*AF129*6,0)+VLOOKUP(G262,$V$209:$X$216,3,0)*S262+100</f>
        <v>6034</v>
      </c>
      <c r="H129" s="86" cm="1">
        <f ca="1" t="array" ref="H129">_xlfn.XLOOKUP(N129,[3]装备属性!$D$571:$D$870,[3]装备属性!$I$571:$I$870)*6+_xlfn.XLOOKUP(T129&amp;AA129,[3]装备属性!$E$62:$E$277&amp;[3]装备属性!$G$62:$G$277,[3]装备属性!$I$62:$I$277)*6+IFERROR(_xlfn.XLOOKUP(T129&amp;AA129,[3]装备属性!$D$309:$D$557&amp;[3]装备属性!$F$309:$F$557,[3]装备属性!$H$309:$H$557)*AG129*6,0)+VLOOKUP(H262,$V$209:$X$216,3,0)*T262+100</f>
        <v>7888</v>
      </c>
      <c r="J129" s="19">
        <v>53</v>
      </c>
      <c r="K129" s="19">
        <v>71</v>
      </c>
      <c r="L129" s="19">
        <v>77</v>
      </c>
      <c r="M129" s="19">
        <v>82</v>
      </c>
      <c r="N129" s="19">
        <v>88</v>
      </c>
      <c r="P129" s="19">
        <v>53</v>
      </c>
      <c r="Q129" s="19">
        <v>90</v>
      </c>
      <c r="R129" s="19">
        <v>90</v>
      </c>
      <c r="S129" s="19">
        <v>90</v>
      </c>
      <c r="T129" s="19">
        <v>110</v>
      </c>
      <c r="W129" s="19">
        <v>53</v>
      </c>
      <c r="X129" s="19" t="str">
        <f t="shared" si="4"/>
        <v>粉</v>
      </c>
      <c r="Y129" s="19" t="str">
        <f t="shared" si="5"/>
        <v>粉</v>
      </c>
      <c r="Z129" s="19" t="str">
        <f t="shared" si="6"/>
        <v>粉</v>
      </c>
      <c r="AA129" s="19" t="str">
        <f t="shared" si="7"/>
        <v>彩</v>
      </c>
      <c r="AC129" s="19">
        <v>53</v>
      </c>
      <c r="AD129" s="19">
        <v>0</v>
      </c>
      <c r="AE129" s="19">
        <v>0</v>
      </c>
      <c r="AF129" s="19">
        <v>0</v>
      </c>
      <c r="AG129" s="19">
        <v>0</v>
      </c>
    </row>
    <row r="130" outlineLevel="1" spans="2:50">
      <c r="D130" s="19">
        <v>54</v>
      </c>
      <c r="E130" s="86" cm="1">
        <f ca="1" t="array" ref="E130">_xlfn.XLOOKUP(K130,[3]装备属性!$D$571:$D$870,[3]装备属性!$I$571:$I$870)*6+_xlfn.XLOOKUP(Q130&amp;X130,[3]装备属性!$E$62:$E$277&amp;[3]装备属性!$G$62:$G$277,[3]装备属性!$I$62:$I$277)*6+IFERROR(_xlfn.XLOOKUP(Q130&amp;X130,[3]装备属性!$D$309:$D$557&amp;[3]装备属性!$F$309:$F$557,[3]装备属性!$H$309:$H$557)*AD130*6,0)+VLOOKUP(E263,$V$209:$X$216,3,0)*Q263+100</f>
        <v>5152</v>
      </c>
      <c r="F130" s="86" cm="1">
        <f ca="1" t="array" ref="F130">_xlfn.XLOOKUP(L130,[3]装备属性!$D$571:$D$870,[3]装备属性!$I$571:$I$870)*6+_xlfn.XLOOKUP(R130&amp;Y130,[3]装备属性!$E$62:$E$277&amp;[3]装备属性!$G$62:$G$277,[3]装备属性!$I$62:$I$277)*6+IFERROR(_xlfn.XLOOKUP(R130&amp;Y130,[3]装备属性!$D$309:$D$557&amp;[3]装备属性!$F$309:$F$557,[3]装备属性!$H$309:$H$557)*AE130*6,0)+VLOOKUP(F263,$V$209:$X$216,3,0)*R263+100</f>
        <v>5674</v>
      </c>
      <c r="G130" s="86" cm="1">
        <f ca="1" t="array" ref="G130">_xlfn.XLOOKUP(M130,[3]装备属性!$D$571:$D$870,[3]装备属性!$I$571:$I$870)*6+_xlfn.XLOOKUP(S130&amp;Z130,[3]装备属性!$E$62:$E$277&amp;[3]装备属性!$G$62:$G$277,[3]装备属性!$I$62:$I$277)*6+IFERROR(_xlfn.XLOOKUP(S130&amp;Z130,[3]装备属性!$D$309:$D$557&amp;[3]装备属性!$F$309:$F$557,[3]装备属性!$H$309:$H$557)*AF130*6,0)+VLOOKUP(G263,$V$209:$X$216,3,0)*S263+100</f>
        <v>6586</v>
      </c>
      <c r="H130" s="86" cm="1">
        <f ca="1" t="array" ref="H130">_xlfn.XLOOKUP(N130,[3]装备属性!$D$571:$D$870,[3]装备属性!$I$571:$I$870)*6+_xlfn.XLOOKUP(T130&amp;AA130,[3]装备属性!$E$62:$E$277&amp;[3]装备属性!$G$62:$G$277,[3]装备属性!$I$62:$I$277)*6+IFERROR(_xlfn.XLOOKUP(T130&amp;AA130,[3]装备属性!$D$309:$D$557&amp;[3]装备属性!$F$309:$F$557,[3]装备属性!$H$309:$H$557)*AG130*6,0)+VLOOKUP(H263,$V$209:$X$216,3,0)*T263+100</f>
        <v>7888</v>
      </c>
      <c r="J130" s="19">
        <v>54</v>
      </c>
      <c r="K130" s="19">
        <v>72</v>
      </c>
      <c r="L130" s="19">
        <v>78</v>
      </c>
      <c r="M130" s="19">
        <v>83</v>
      </c>
      <c r="N130" s="19">
        <v>88</v>
      </c>
      <c r="P130" s="19">
        <v>54</v>
      </c>
      <c r="Q130" s="19">
        <v>90</v>
      </c>
      <c r="R130" s="19">
        <v>90</v>
      </c>
      <c r="S130" s="19">
        <v>90</v>
      </c>
      <c r="T130" s="19">
        <v>110</v>
      </c>
      <c r="W130" s="19">
        <v>54</v>
      </c>
      <c r="X130" s="19" t="str">
        <f t="shared" si="4"/>
        <v>粉</v>
      </c>
      <c r="Y130" s="19" t="str">
        <f t="shared" si="5"/>
        <v>粉</v>
      </c>
      <c r="Z130" s="19" t="str">
        <f t="shared" si="6"/>
        <v>彩</v>
      </c>
      <c r="AA130" s="19" t="str">
        <f t="shared" si="7"/>
        <v>彩</v>
      </c>
      <c r="AC130" s="19">
        <v>54</v>
      </c>
      <c r="AD130" s="19">
        <v>0</v>
      </c>
      <c r="AE130" s="19">
        <v>0</v>
      </c>
      <c r="AF130" s="19">
        <v>0</v>
      </c>
      <c r="AG130" s="19">
        <v>0</v>
      </c>
    </row>
    <row r="131" outlineLevel="1" spans="2:50">
      <c r="D131" s="19">
        <v>55</v>
      </c>
      <c r="E131" s="86" cm="1">
        <f ca="1" t="array" ref="E131">_xlfn.XLOOKUP(K131,[3]装备属性!$D$571:$D$870,[3]装备属性!$I$571:$I$870)*6+_xlfn.XLOOKUP(Q131&amp;X131,[3]装备属性!$E$62:$E$277&amp;[3]装备属性!$G$62:$G$277,[3]装备属性!$I$62:$I$277)*6+IFERROR(_xlfn.XLOOKUP(Q131&amp;X131,[3]装备属性!$D$309:$D$557&amp;[3]装备属性!$F$309:$F$557,[3]装备属性!$H$309:$H$557)*AD131*6,0)+VLOOKUP(E264,$V$209:$X$216,3,0)*Q264+100</f>
        <v>5152</v>
      </c>
      <c r="F131" s="86" cm="1">
        <f ca="1" t="array" ref="F131">_xlfn.XLOOKUP(L131,[3]装备属性!$D$571:$D$870,[3]装备属性!$I$571:$I$870)*6+_xlfn.XLOOKUP(R131&amp;Y131,[3]装备属性!$E$62:$E$277&amp;[3]装备属性!$G$62:$G$277,[3]装备属性!$I$62:$I$277)*6+IFERROR(_xlfn.XLOOKUP(R131&amp;Y131,[3]装备属性!$D$309:$D$557&amp;[3]装备属性!$F$309:$F$557,[3]装备属性!$H$309:$H$557)*AE131*6,0)+VLOOKUP(F264,$V$209:$X$216,3,0)*R264+100</f>
        <v>5746</v>
      </c>
      <c r="G131" s="86" cm="1">
        <f ca="1" t="array" ref="G131">_xlfn.XLOOKUP(M131,[3]装备属性!$D$571:$D$870,[3]装备属性!$I$571:$I$870)*6+_xlfn.XLOOKUP(S131&amp;Z131,[3]装备属性!$E$62:$E$277&amp;[3]装备属性!$G$62:$G$277,[3]装备属性!$I$62:$I$277)*6+IFERROR(_xlfn.XLOOKUP(S131&amp;Z131,[3]装备属性!$D$309:$D$557&amp;[3]装备属性!$F$309:$F$557,[3]装备属性!$H$309:$H$557)*AF131*6,0)+VLOOKUP(G264,$V$209:$X$216,3,0)*S264+100</f>
        <v>6682</v>
      </c>
      <c r="H131" s="86" cm="1">
        <f ca="1" t="array" ref="H131">_xlfn.XLOOKUP(N131,[3]装备属性!$D$571:$D$870,[3]装备属性!$I$571:$I$870)*6+_xlfn.XLOOKUP(T131&amp;AA131,[3]装备属性!$E$62:$E$277&amp;[3]装备属性!$G$62:$G$277,[3]装备属性!$I$62:$I$277)*6+IFERROR(_xlfn.XLOOKUP(T131&amp;AA131,[3]装备属性!$D$309:$D$557&amp;[3]装备属性!$F$309:$F$557,[3]装备属性!$H$309:$H$557)*AG131*6,0)+VLOOKUP(H264,$V$209:$X$216,3,0)*T264+100</f>
        <v>7984</v>
      </c>
      <c r="J131" s="19">
        <v>55</v>
      </c>
      <c r="K131" s="19">
        <v>72</v>
      </c>
      <c r="L131" s="19">
        <v>79</v>
      </c>
      <c r="M131" s="19">
        <v>84</v>
      </c>
      <c r="N131" s="19">
        <v>89</v>
      </c>
      <c r="P131" s="19">
        <v>55</v>
      </c>
      <c r="Q131" s="19">
        <v>90</v>
      </c>
      <c r="R131" s="19">
        <v>90</v>
      </c>
      <c r="S131" s="19">
        <v>90</v>
      </c>
      <c r="T131" s="19">
        <v>110</v>
      </c>
      <c r="W131" s="19">
        <v>55</v>
      </c>
      <c r="X131" s="19" t="str">
        <f t="shared" si="4"/>
        <v>粉</v>
      </c>
      <c r="Y131" s="19" t="str">
        <f t="shared" si="5"/>
        <v>粉</v>
      </c>
      <c r="Z131" s="19" t="str">
        <f t="shared" si="6"/>
        <v>彩</v>
      </c>
      <c r="AA131" s="19" t="str">
        <f t="shared" si="7"/>
        <v>彩</v>
      </c>
      <c r="AC131" s="19">
        <v>55</v>
      </c>
      <c r="AD131" s="19">
        <v>0</v>
      </c>
      <c r="AE131" s="19">
        <v>0</v>
      </c>
      <c r="AF131" s="19">
        <v>0</v>
      </c>
      <c r="AG131" s="19">
        <v>0</v>
      </c>
    </row>
    <row r="132" outlineLevel="1" spans="2:50">
      <c r="D132" s="19">
        <v>56</v>
      </c>
      <c r="E132" s="86" cm="1">
        <f ca="1" t="array" ref="E132">_xlfn.XLOOKUP(K132,[3]装备属性!$D$571:$D$870,[3]装备属性!$I$571:$I$870)*6+_xlfn.XLOOKUP(Q132&amp;X132,[3]装备属性!$E$62:$E$277&amp;[3]装备属性!$G$62:$G$277,[3]装备属性!$I$62:$I$277)*6+IFERROR(_xlfn.XLOOKUP(Q132&amp;X132,[3]装备属性!$D$309:$D$557&amp;[3]装备属性!$F$309:$F$557,[3]装备属性!$H$309:$H$557)*AD132*6,0)+VLOOKUP(E265,$V$209:$X$216,3,0)*Q265+100</f>
        <v>5224</v>
      </c>
      <c r="F132" s="86" cm="1">
        <f ca="1" t="array" ref="F132">_xlfn.XLOOKUP(L132,[3]装备属性!$D$571:$D$870,[3]装备属性!$I$571:$I$870)*6+_xlfn.XLOOKUP(R132&amp;Y132,[3]装备属性!$E$62:$E$277&amp;[3]装备属性!$G$62:$G$277,[3]装备属性!$I$62:$I$277)*6+IFERROR(_xlfn.XLOOKUP(R132&amp;Y132,[3]装备属性!$D$309:$D$557&amp;[3]装备属性!$F$309:$F$557,[3]装备属性!$H$309:$H$557)*AE132*6,0)+VLOOKUP(F265,$V$209:$X$216,3,0)*R265+100</f>
        <v>5842</v>
      </c>
      <c r="G132" s="86" cm="1">
        <f ca="1" t="array" ref="G132">_xlfn.XLOOKUP(M132,[3]装备属性!$D$571:$D$870,[3]装备属性!$I$571:$I$870)*6+_xlfn.XLOOKUP(S132&amp;Z132,[3]装备属性!$E$62:$E$277&amp;[3]装备属性!$G$62:$G$277,[3]装备属性!$I$62:$I$277)*6+IFERROR(_xlfn.XLOOKUP(S132&amp;Z132,[3]装备属性!$D$309:$D$557&amp;[3]装备属性!$F$309:$F$557,[3]装备属性!$H$309:$H$557)*AF132*6,0)+VLOOKUP(G265,$V$209:$X$216,3,0)*S265+100</f>
        <v>6778</v>
      </c>
      <c r="H132" s="86" cm="1">
        <f ca="1" t="array" ref="H132">_xlfn.XLOOKUP(N132,[3]装备属性!$D$571:$D$870,[3]装备属性!$I$571:$I$870)*6+_xlfn.XLOOKUP(T132&amp;AA132,[3]装备属性!$E$62:$E$277&amp;[3]装备属性!$G$62:$G$277,[3]装备属性!$I$62:$I$277)*6+IFERROR(_xlfn.XLOOKUP(T132&amp;AA132,[3]装备属性!$D$309:$D$557&amp;[3]装备属性!$F$309:$F$557,[3]装备属性!$H$309:$H$557)*AG132*6,0)+VLOOKUP(H265,$V$209:$X$216,3,0)*T265+100</f>
        <v>8104</v>
      </c>
      <c r="J132" s="19">
        <v>56</v>
      </c>
      <c r="K132" s="19">
        <v>73</v>
      </c>
      <c r="L132" s="19">
        <v>80</v>
      </c>
      <c r="M132" s="19">
        <v>85</v>
      </c>
      <c r="N132" s="19">
        <v>90</v>
      </c>
      <c r="P132" s="19">
        <v>56</v>
      </c>
      <c r="Q132" s="19">
        <v>90</v>
      </c>
      <c r="R132" s="19">
        <v>90</v>
      </c>
      <c r="S132" s="19">
        <v>90</v>
      </c>
      <c r="T132" s="19">
        <v>110</v>
      </c>
      <c r="W132" s="19">
        <v>56</v>
      </c>
      <c r="X132" s="19" t="str">
        <f t="shared" si="4"/>
        <v>粉</v>
      </c>
      <c r="Y132" s="19" t="str">
        <f t="shared" si="5"/>
        <v>粉</v>
      </c>
      <c r="Z132" s="19" t="str">
        <f t="shared" si="6"/>
        <v>彩</v>
      </c>
      <c r="AA132" s="19" t="str">
        <f t="shared" si="7"/>
        <v>彩</v>
      </c>
      <c r="AC132" s="19">
        <v>56</v>
      </c>
      <c r="AD132" s="19">
        <v>0</v>
      </c>
      <c r="AE132" s="19">
        <v>0</v>
      </c>
      <c r="AF132" s="19">
        <v>0</v>
      </c>
      <c r="AG132" s="19">
        <v>0</v>
      </c>
    </row>
    <row r="133" outlineLevel="1" spans="2:50">
      <c r="D133" s="19">
        <v>57</v>
      </c>
      <c r="E133" s="86" cm="1">
        <f ca="1" t="array" ref="E133">_xlfn.XLOOKUP(K133,[3]装备属性!$D$571:$D$870,[3]装备属性!$I$571:$I$870)*6+_xlfn.XLOOKUP(Q133&amp;X133,[3]装备属性!$E$62:$E$277&amp;[3]装备属性!$G$62:$G$277,[3]装备属性!$I$62:$I$277)*6+IFERROR(_xlfn.XLOOKUP(Q133&amp;X133,[3]装备属性!$D$309:$D$557&amp;[3]装备属性!$F$309:$F$557,[3]装备属性!$H$309:$H$557)*AD133*6,0)+VLOOKUP(E266,$V$209:$X$216,3,0)*Q266+100</f>
        <v>5296</v>
      </c>
      <c r="F133" s="86" cm="1">
        <f ca="1" t="array" ref="F133">_xlfn.XLOOKUP(L133,[3]装备属性!$D$571:$D$870,[3]装备属性!$I$571:$I$870)*6+_xlfn.XLOOKUP(R133&amp;Y133,[3]装备属性!$E$62:$E$277&amp;[3]装备属性!$G$62:$G$277,[3]装备属性!$I$62:$I$277)*6+IFERROR(_xlfn.XLOOKUP(R133&amp;Y133,[3]装备属性!$D$309:$D$557&amp;[3]装备属性!$F$309:$F$557,[3]装备属性!$H$309:$H$557)*AE133*6,0)+VLOOKUP(F266,$V$209:$X$216,3,0)*R266+100</f>
        <v>5842</v>
      </c>
      <c r="G133" s="86" cm="1">
        <f ca="1" t="array" ref="G133">_xlfn.XLOOKUP(M133,[3]装备属性!$D$571:$D$870,[3]装备属性!$I$571:$I$870)*6+_xlfn.XLOOKUP(S133&amp;Z133,[3]装备属性!$E$62:$E$277&amp;[3]装备属性!$G$62:$G$277,[3]装备属性!$I$62:$I$277)*6+IFERROR(_xlfn.XLOOKUP(S133&amp;Z133,[3]装备属性!$D$309:$D$557&amp;[3]装备属性!$F$309:$F$557,[3]装备属性!$H$309:$H$557)*AF133*6,0)+VLOOKUP(G266,$V$209:$X$216,3,0)*S266+100</f>
        <v>6778</v>
      </c>
      <c r="H133" s="86" cm="1">
        <f ca="1" t="array" ref="H133">_xlfn.XLOOKUP(N133,[3]装备属性!$D$571:$D$870,[3]装备属性!$I$571:$I$870)*6+_xlfn.XLOOKUP(T133&amp;AA133,[3]装备属性!$E$62:$E$277&amp;[3]装备属性!$G$62:$G$277,[3]装备属性!$I$62:$I$277)*6+IFERROR(_xlfn.XLOOKUP(T133&amp;AA133,[3]装备属性!$D$309:$D$557&amp;[3]装备属性!$F$309:$F$557,[3]装备属性!$H$309:$H$557)*AG133*6,0)+VLOOKUP(H266,$V$209:$X$216,3,0)*T266+100</f>
        <v>8224</v>
      </c>
      <c r="J133" s="19">
        <v>57</v>
      </c>
      <c r="K133" s="19">
        <v>74</v>
      </c>
      <c r="L133" s="19">
        <v>80</v>
      </c>
      <c r="M133" s="19">
        <v>85</v>
      </c>
      <c r="N133" s="19">
        <v>91</v>
      </c>
      <c r="P133" s="19">
        <v>57</v>
      </c>
      <c r="Q133" s="19">
        <v>90</v>
      </c>
      <c r="R133" s="19">
        <v>90</v>
      </c>
      <c r="S133" s="19">
        <v>90</v>
      </c>
      <c r="T133" s="19">
        <v>110</v>
      </c>
      <c r="W133" s="19">
        <v>57</v>
      </c>
      <c r="X133" s="19" t="str">
        <f t="shared" si="4"/>
        <v>粉</v>
      </c>
      <c r="Y133" s="19" t="str">
        <f t="shared" si="5"/>
        <v>粉</v>
      </c>
      <c r="Z133" s="19" t="str">
        <f t="shared" si="6"/>
        <v>彩</v>
      </c>
      <c r="AA133" s="19" t="str">
        <f t="shared" si="7"/>
        <v>彩</v>
      </c>
      <c r="AC133" s="19">
        <v>57</v>
      </c>
      <c r="AD133" s="19">
        <v>0</v>
      </c>
      <c r="AE133" s="19">
        <v>0</v>
      </c>
      <c r="AF133" s="19">
        <v>0</v>
      </c>
      <c r="AG133" s="19">
        <v>0</v>
      </c>
    </row>
    <row r="134" outlineLevel="1" spans="2:50">
      <c r="D134" s="19">
        <v>58</v>
      </c>
      <c r="E134" s="86" cm="1">
        <f ca="1" t="array" ref="E134">_xlfn.XLOOKUP(K134,[3]装备属性!$D$571:$D$870,[3]装备属性!$I$571:$I$870)*6+_xlfn.XLOOKUP(Q134&amp;X134,[3]装备属性!$E$62:$E$277&amp;[3]装备属性!$G$62:$G$277,[3]装备属性!$I$62:$I$277)*6+IFERROR(_xlfn.XLOOKUP(Q134&amp;X134,[3]装备属性!$D$309:$D$557&amp;[3]装备属性!$F$309:$F$557,[3]装备属性!$H$309:$H$557)*AD134*6,0)+VLOOKUP(E267,$V$209:$X$216,3,0)*Q267+100</f>
        <v>5386</v>
      </c>
      <c r="F134" s="86" cm="1">
        <f ca="1" t="array" ref="F134">_xlfn.XLOOKUP(L134,[3]装备属性!$D$571:$D$870,[3]装备属性!$I$571:$I$870)*6+_xlfn.XLOOKUP(R134&amp;Y134,[3]装备属性!$E$62:$E$277&amp;[3]装备属性!$G$62:$G$277,[3]装备属性!$I$62:$I$277)*6+IFERROR(_xlfn.XLOOKUP(R134&amp;Y134,[3]装备属性!$D$309:$D$557&amp;[3]装备属性!$F$309:$F$557,[3]装备属性!$H$309:$H$557)*AE134*6,0)+VLOOKUP(F267,$V$209:$X$216,3,0)*R267+100</f>
        <v>6208</v>
      </c>
      <c r="G134" s="86" cm="1">
        <f ca="1" t="array" ref="G134">_xlfn.XLOOKUP(M134,[3]装备属性!$D$571:$D$870,[3]装备属性!$I$571:$I$870)*6+_xlfn.XLOOKUP(S134&amp;Z134,[3]装备属性!$E$62:$E$277&amp;[3]装备属性!$G$62:$G$277,[3]装备属性!$I$62:$I$277)*6+IFERROR(_xlfn.XLOOKUP(S134&amp;Z134,[3]装备属性!$D$309:$D$557&amp;[3]装备属性!$F$309:$F$557,[3]装备属性!$H$309:$H$557)*AF134*6,0)+VLOOKUP(G267,$V$209:$X$216,3,0)*S267+100</f>
        <v>7216</v>
      </c>
      <c r="H134" s="86" cm="1">
        <f ca="1" t="array" ref="H134">_xlfn.XLOOKUP(N134,[3]装备属性!$D$571:$D$870,[3]装备属性!$I$571:$I$870)*6+_xlfn.XLOOKUP(T134&amp;AA134,[3]装备属性!$E$62:$E$277&amp;[3]装备属性!$G$62:$G$277,[3]装备属性!$I$62:$I$277)*6+IFERROR(_xlfn.XLOOKUP(T134&amp;AA134,[3]装备属性!$D$309:$D$557&amp;[3]装备属性!$F$309:$F$557,[3]装备属性!$H$309:$H$557)*AG134*6,0)+VLOOKUP(H267,$V$209:$X$216,3,0)*T267+100</f>
        <v>8344</v>
      </c>
      <c r="J134" s="19">
        <v>58</v>
      </c>
      <c r="K134" s="19">
        <v>74</v>
      </c>
      <c r="L134" s="19">
        <v>81</v>
      </c>
      <c r="M134" s="19">
        <v>86</v>
      </c>
      <c r="N134" s="19">
        <v>92</v>
      </c>
      <c r="P134" s="19">
        <v>58</v>
      </c>
      <c r="Q134" s="19">
        <v>90</v>
      </c>
      <c r="R134" s="19">
        <v>100</v>
      </c>
      <c r="S134" s="19">
        <v>100</v>
      </c>
      <c r="T134" s="19">
        <v>110</v>
      </c>
      <c r="W134" s="19">
        <v>58</v>
      </c>
      <c r="X134" s="19" t="str">
        <f t="shared" si="4"/>
        <v>粉</v>
      </c>
      <c r="Y134" s="19" t="str">
        <f t="shared" si="5"/>
        <v>粉</v>
      </c>
      <c r="Z134" s="19" t="str">
        <f t="shared" si="6"/>
        <v>彩</v>
      </c>
      <c r="AA134" s="19" t="str">
        <f t="shared" si="7"/>
        <v>彩</v>
      </c>
      <c r="AC134" s="19">
        <v>58</v>
      </c>
      <c r="AD134" s="19">
        <v>0</v>
      </c>
      <c r="AE134" s="19">
        <v>0</v>
      </c>
      <c r="AF134" s="19">
        <v>0</v>
      </c>
      <c r="AG134" s="19">
        <v>0</v>
      </c>
    </row>
    <row r="135" outlineLevel="1" spans="2:50">
      <c r="D135" s="19">
        <v>59</v>
      </c>
      <c r="E135" s="86" cm="1">
        <f ca="1" t="array" ref="E135">_xlfn.XLOOKUP(K135,[3]装备属性!$D$571:$D$870,[3]装备属性!$I$571:$I$870)*6+_xlfn.XLOOKUP(Q135&amp;X135,[3]装备属性!$E$62:$E$277&amp;[3]装备属性!$G$62:$G$277,[3]装备属性!$I$62:$I$277)*6+IFERROR(_xlfn.XLOOKUP(Q135&amp;X135,[3]装备属性!$D$309:$D$557&amp;[3]装备属性!$F$309:$F$557,[3]装备属性!$H$309:$H$557)*AD135*6,0)+VLOOKUP(E268,$V$209:$X$216,3,0)*Q268+100</f>
        <v>5458</v>
      </c>
      <c r="F135" s="86" cm="1">
        <f ca="1" t="array" ref="F135">_xlfn.XLOOKUP(L135,[3]装备属性!$D$571:$D$870,[3]装备属性!$I$571:$I$870)*6+_xlfn.XLOOKUP(R135&amp;Y135,[3]装备属性!$E$62:$E$277&amp;[3]装备属性!$G$62:$G$277,[3]装备属性!$I$62:$I$277)*6+IFERROR(_xlfn.XLOOKUP(R135&amp;Y135,[3]装备属性!$D$309:$D$557&amp;[3]装备属性!$F$309:$F$557,[3]装备属性!$H$309:$H$557)*AE135*6,0)+VLOOKUP(F268,$V$209:$X$216,3,0)*R268+100</f>
        <v>6304</v>
      </c>
      <c r="G135" s="86" cm="1">
        <f ca="1" t="array" ref="G135">_xlfn.XLOOKUP(M135,[3]装备属性!$D$571:$D$870,[3]装备属性!$I$571:$I$870)*6+_xlfn.XLOOKUP(S135&amp;Z135,[3]装备属性!$E$62:$E$277&amp;[3]装备属性!$G$62:$G$277,[3]装备属性!$I$62:$I$277)*6+IFERROR(_xlfn.XLOOKUP(S135&amp;Z135,[3]装备属性!$D$309:$D$557&amp;[3]装备属性!$F$309:$F$557,[3]装备属性!$H$309:$H$557)*AF135*6,0)+VLOOKUP(G268,$V$209:$X$216,3,0)*S268+100</f>
        <v>7312</v>
      </c>
      <c r="H135" s="86" cm="1">
        <f ca="1" t="array" ref="H135">_xlfn.XLOOKUP(N135,[3]装备属性!$D$571:$D$870,[3]装备属性!$I$571:$I$870)*6+_xlfn.XLOOKUP(T135&amp;AA135,[3]装备属性!$E$62:$E$277&amp;[3]装备属性!$G$62:$G$277,[3]装备属性!$I$62:$I$277)*6+IFERROR(_xlfn.XLOOKUP(T135&amp;AA135,[3]装备属性!$D$309:$D$557&amp;[3]装备属性!$F$309:$F$557,[3]装备属性!$H$309:$H$557)*AG135*6,0)+VLOOKUP(H268,$V$209:$X$216,3,0)*T268+100</f>
        <v>8344</v>
      </c>
      <c r="J135" s="19">
        <v>59</v>
      </c>
      <c r="K135" s="19">
        <v>75</v>
      </c>
      <c r="L135" s="19">
        <v>82</v>
      </c>
      <c r="M135" s="19">
        <v>87</v>
      </c>
      <c r="N135" s="19">
        <v>92</v>
      </c>
      <c r="P135" s="19">
        <v>59</v>
      </c>
      <c r="Q135" s="19">
        <v>90</v>
      </c>
      <c r="R135" s="19">
        <v>100</v>
      </c>
      <c r="S135" s="19">
        <v>100</v>
      </c>
      <c r="T135" s="19">
        <v>110</v>
      </c>
      <c r="W135" s="19">
        <v>59</v>
      </c>
      <c r="X135" s="19" t="str">
        <f t="shared" si="4"/>
        <v>粉</v>
      </c>
      <c r="Y135" s="19" t="str">
        <f t="shared" si="5"/>
        <v>粉</v>
      </c>
      <c r="Z135" s="19" t="str">
        <f t="shared" si="6"/>
        <v>彩</v>
      </c>
      <c r="AA135" s="19" t="str">
        <f t="shared" si="7"/>
        <v>彩</v>
      </c>
      <c r="AC135" s="19">
        <v>59</v>
      </c>
      <c r="AD135" s="19">
        <v>0</v>
      </c>
      <c r="AE135" s="19">
        <v>0</v>
      </c>
      <c r="AF135" s="19">
        <v>0</v>
      </c>
      <c r="AG135" s="19">
        <v>0</v>
      </c>
    </row>
    <row r="136" outlineLevel="1" spans="2:50">
      <c r="D136" s="19">
        <v>60</v>
      </c>
      <c r="E136" s="86" cm="1">
        <f ca="1" t="array" ref="E136">_xlfn.XLOOKUP(K136,[3]装备属性!$D$571:$D$870,[3]装备属性!$I$571:$I$870)*6+_xlfn.XLOOKUP(Q136&amp;X136,[3]装备属性!$E$62:$E$277&amp;[3]装备属性!$G$62:$G$277,[3]装备属性!$I$62:$I$277)*6+IFERROR(_xlfn.XLOOKUP(Q136&amp;X136,[3]装备属性!$D$309:$D$557&amp;[3]装备属性!$F$309:$F$557,[3]装备属性!$H$309:$H$557)*AD136*6,0)+VLOOKUP(E269,$V$209:$X$216,3,0)*Q269+100</f>
        <v>5458</v>
      </c>
      <c r="F136" s="86" cm="1">
        <f ca="1" t="array" ref="F136">_xlfn.XLOOKUP(L136,[3]装备属性!$D$571:$D$870,[3]装备属性!$I$571:$I$870)*6+_xlfn.XLOOKUP(R136&amp;Y136,[3]装备属性!$E$62:$E$277&amp;[3]装备属性!$G$62:$G$277,[3]装备属性!$I$62:$I$277)*6+IFERROR(_xlfn.XLOOKUP(R136&amp;Y136,[3]装备属性!$D$309:$D$557&amp;[3]装备属性!$F$309:$F$557,[3]装备属性!$H$309:$H$557)*AE136*6,0)+VLOOKUP(F269,$V$209:$X$216,3,0)*R269+100</f>
        <v>6400</v>
      </c>
      <c r="G136" s="86" cm="1">
        <f ca="1" t="array" ref="G136">_xlfn.XLOOKUP(M136,[3]装备属性!$D$571:$D$870,[3]装备属性!$I$571:$I$870)*6+_xlfn.XLOOKUP(S136&amp;Z136,[3]装备属性!$E$62:$E$277&amp;[3]装备属性!$G$62:$G$277,[3]装备属性!$I$62:$I$277)*6+IFERROR(_xlfn.XLOOKUP(S136&amp;Z136,[3]装备属性!$D$309:$D$557&amp;[3]装备属性!$F$309:$F$557,[3]装备属性!$H$309:$H$557)*AF136*6,0)+VLOOKUP(G269,$V$209:$X$216,3,0)*S269+100</f>
        <v>7408</v>
      </c>
      <c r="H136" s="86" cm="1">
        <f ca="1" t="array" ref="H136">_xlfn.XLOOKUP(N136,[3]装备属性!$D$571:$D$870,[3]装备属性!$I$571:$I$870)*6+_xlfn.XLOOKUP(T136&amp;AA136,[3]装备属性!$E$62:$E$277&amp;[3]装备属性!$G$62:$G$277,[3]装备属性!$I$62:$I$277)*6+IFERROR(_xlfn.XLOOKUP(T136&amp;AA136,[3]装备属性!$D$309:$D$557&amp;[3]装备属性!$F$309:$F$557,[3]装备属性!$H$309:$H$557)*AG136*6,0)+VLOOKUP(H269,$V$209:$X$216,3,0)*T269+100</f>
        <v>8914</v>
      </c>
      <c r="J136" s="19">
        <v>60</v>
      </c>
      <c r="K136" s="19">
        <v>75</v>
      </c>
      <c r="L136" s="19">
        <v>83</v>
      </c>
      <c r="M136" s="19">
        <v>88</v>
      </c>
      <c r="N136" s="19">
        <v>93</v>
      </c>
      <c r="P136" s="19">
        <v>60</v>
      </c>
      <c r="Q136" s="19">
        <v>90</v>
      </c>
      <c r="R136" s="19">
        <v>100</v>
      </c>
      <c r="S136" s="19">
        <v>100</v>
      </c>
      <c r="T136" s="19">
        <v>120</v>
      </c>
      <c r="W136" s="19">
        <v>60</v>
      </c>
      <c r="X136" s="19" t="str">
        <f t="shared" si="4"/>
        <v>粉</v>
      </c>
      <c r="Y136" s="19" t="str">
        <f t="shared" si="5"/>
        <v>粉</v>
      </c>
      <c r="Z136" s="19" t="str">
        <f t="shared" si="6"/>
        <v>彩</v>
      </c>
      <c r="AA136" s="19" t="str">
        <f t="shared" si="7"/>
        <v>彩</v>
      </c>
      <c r="AC136" s="19">
        <v>60</v>
      </c>
      <c r="AD136" s="19">
        <v>0</v>
      </c>
      <c r="AE136" s="19">
        <v>0</v>
      </c>
      <c r="AF136" s="19">
        <v>0</v>
      </c>
      <c r="AG136" s="19">
        <v>0</v>
      </c>
    </row>
    <row r="137" outlineLevel="1" spans="2:50">
      <c r="Q137" s="19"/>
      <c r="R137" s="19"/>
      <c r="S137" s="19"/>
      <c r="T137" s="19"/>
    </row>
    <row r="138" spans="2:50">
      <c r="Q138" s="19"/>
      <c r="R138" s="19"/>
      <c r="S138" s="19"/>
      <c r="T138" s="19"/>
    </row>
    <row r="139" spans="2:50">
      <c r="K139" s="19"/>
      <c r="L139" s="19"/>
      <c r="M139" s="19"/>
      <c r="N139" s="19"/>
    </row>
    <row r="140" spans="2:50">
      <c r="K140" s="19"/>
      <c r="L140" s="19"/>
      <c r="M140" s="19"/>
      <c r="N140" s="19"/>
    </row>
    <row r="141" spans="2:50">
      <c r="B141" s="345"/>
      <c r="C141" s="346" t="s">
        <v>421</v>
      </c>
      <c r="K141" s="19"/>
      <c r="L141" s="19"/>
      <c r="M141" s="19"/>
      <c r="N141" s="19"/>
    </row>
    <row r="142" outlineLevel="1" spans="2:50">
      <c r="C142" s="346"/>
      <c r="K142" s="19"/>
      <c r="L142" s="19"/>
      <c r="M142" s="19"/>
      <c r="N142" s="19"/>
    </row>
    <row r="143" outlineLevel="1" spans="2:50">
      <c r="E143" s="80" t="s">
        <v>422</v>
      </c>
      <c r="K143" s="19" t="s">
        <v>423</v>
      </c>
      <c r="L143" s="19"/>
      <c r="M143" s="19"/>
      <c r="N143" s="19"/>
      <c r="V143" s="80" t="s">
        <v>424</v>
      </c>
    </row>
    <row r="144" outlineLevel="1" spans="2:50">
      <c r="D144" s="349" t="s">
        <v>425</v>
      </c>
      <c r="E144" s="349" t="s">
        <v>416</v>
      </c>
      <c r="F144" s="349" t="s">
        <v>417</v>
      </c>
      <c r="G144" s="349" t="s">
        <v>262</v>
      </c>
      <c r="H144" s="349" t="s">
        <v>239</v>
      </c>
      <c r="J144" s="349" t="s">
        <v>296</v>
      </c>
      <c r="K144" s="349" t="s">
        <v>416</v>
      </c>
      <c r="L144" s="349" t="s">
        <v>417</v>
      </c>
      <c r="M144" s="349" t="s">
        <v>262</v>
      </c>
      <c r="N144" s="349" t="s">
        <v>239</v>
      </c>
      <c r="P144" s="349" t="s">
        <v>426</v>
      </c>
      <c r="Q144" s="349" t="s">
        <v>416</v>
      </c>
      <c r="R144" s="349" t="s">
        <v>417</v>
      </c>
      <c r="S144" s="349" t="s">
        <v>262</v>
      </c>
      <c r="T144" s="349" t="s">
        <v>239</v>
      </c>
      <c r="V144" s="349" t="s">
        <v>427</v>
      </c>
      <c r="W144" s="349" t="s">
        <v>416</v>
      </c>
      <c r="X144" s="349" t="s">
        <v>417</v>
      </c>
      <c r="Y144" s="349" t="s">
        <v>262</v>
      </c>
      <c r="Z144" s="349" t="s">
        <v>239</v>
      </c>
      <c r="AB144" s="349" t="s">
        <v>428</v>
      </c>
      <c r="AC144" s="349" t="s">
        <v>416</v>
      </c>
      <c r="AD144" s="349" t="s">
        <v>417</v>
      </c>
      <c r="AE144" s="349" t="s">
        <v>262</v>
      </c>
      <c r="AF144" s="349" t="s">
        <v>239</v>
      </c>
      <c r="AH144" s="349" t="s">
        <v>429</v>
      </c>
      <c r="AI144" s="349" t="s">
        <v>416</v>
      </c>
      <c r="AJ144" s="349" t="s">
        <v>417</v>
      </c>
      <c r="AK144" s="349" t="s">
        <v>262</v>
      </c>
      <c r="AL144" s="349" t="s">
        <v>239</v>
      </c>
      <c r="AN144" s="349" t="s">
        <v>430</v>
      </c>
      <c r="AO144" s="349" t="s">
        <v>416</v>
      </c>
      <c r="AP144" s="349" t="s">
        <v>417</v>
      </c>
      <c r="AQ144" s="349" t="s">
        <v>262</v>
      </c>
      <c r="AR144" s="349" t="s">
        <v>239</v>
      </c>
      <c r="AT144" s="349" t="s">
        <v>431</v>
      </c>
      <c r="AU144" s="349" t="s">
        <v>416</v>
      </c>
      <c r="AV144" s="349" t="s">
        <v>417</v>
      </c>
      <c r="AW144" s="349" t="s">
        <v>262</v>
      </c>
      <c r="AX144" s="349" t="s">
        <v>239</v>
      </c>
    </row>
    <row r="145" outlineLevel="1" spans="3:52">
      <c r="D145" s="19">
        <v>1</v>
      </c>
      <c r="E145" s="19" t="s">
        <v>432</v>
      </c>
      <c r="F145" s="19" t="s">
        <v>433</v>
      </c>
      <c r="G145" s="19" t="s">
        <v>434</v>
      </c>
      <c r="H145" s="19" t="s">
        <v>434</v>
      </c>
      <c r="J145" s="19">
        <v>1</v>
      </c>
      <c r="K145" s="19">
        <v>1</v>
      </c>
      <c r="L145" s="19">
        <v>2</v>
      </c>
      <c r="M145" s="19">
        <v>2</v>
      </c>
      <c r="N145" s="19">
        <v>2</v>
      </c>
      <c r="P145" s="19">
        <v>1</v>
      </c>
      <c r="Q145" s="266">
        <v>223.428571428571</v>
      </c>
      <c r="R145" s="266">
        <v>300.104761904762</v>
      </c>
      <c r="S145" s="266">
        <v>429.485714285715</v>
      </c>
      <c r="T145" s="266">
        <v>503.107142857143</v>
      </c>
      <c r="V145" s="19">
        <v>1</v>
      </c>
      <c r="W145" s="350">
        <f>100*30*1.1*7</f>
        <v>23100</v>
      </c>
      <c r="X145" s="350">
        <f>130*1.1*30*7</f>
        <v>30030</v>
      </c>
      <c r="Y145" s="350">
        <f>208*1.1*30*7</f>
        <v>48048</v>
      </c>
      <c r="Z145" s="350">
        <f>275*1.1*30*7</f>
        <v>63525</v>
      </c>
      <c r="AB145" s="19">
        <v>1</v>
      </c>
      <c r="AC145" s="350">
        <f>MATCH(_xlfn.XLOOKUP(K145,[1]梦灵本体产出!$D$30:$D$38,[1]梦灵本体产出!$J$30:$J$38)*Q145*10/[1]梦灵属性!$K$26,[1]梦灵属性!$K$56:$K$104,1)</f>
        <v>10</v>
      </c>
      <c r="AD145" s="350">
        <f>MATCH(_xlfn.XLOOKUP(L145,[1]梦灵本体产出!$D$30:$D$38,[1]梦灵本体产出!$J$30:$J$38)*R145*10/[1]梦灵属性!$K$26,[1]梦灵属性!$K$56:$K$104,1)</f>
        <v>11</v>
      </c>
      <c r="AE145" s="350">
        <f>MATCH(_xlfn.XLOOKUP(M145,[1]梦灵本体产出!$D$30:$D$38,[1]梦灵本体产出!$J$30:$J$38)*S145*10/[1]梦灵属性!$K$26,[1]梦灵属性!$K$56:$K$104,1)</f>
        <v>14</v>
      </c>
      <c r="AF145" s="350">
        <f>MATCH(_xlfn.XLOOKUP(N145,[1]梦灵本体产出!$D$30:$D$38,[1]梦灵本体产出!$J$30:$J$38)*T145*10/[1]梦灵属性!$K$26,[1]梦灵属性!$K$56:$K$104,1)</f>
        <v>15</v>
      </c>
      <c r="AG145" s="351"/>
      <c r="AH145" s="266">
        <v>1</v>
      </c>
      <c r="AI145" s="350">
        <f>MATCH(_xlfn.XLOOKUP(K145,[1]梦灵本体产出!$D$30:$D$38,[1]梦灵本体产出!$K$30:$K$38)*Q145*10/[1]梦灵属性!$K$26,[1]梦灵属性!$K$56:$K$104,1)</f>
        <v>5</v>
      </c>
      <c r="AJ145" s="350">
        <f>MATCH(_xlfn.XLOOKUP(L145,[1]梦灵本体产出!$D$30:$D$38,[1]梦灵本体产出!$K$30:$K$38)*R145*10/[1]梦灵属性!$K$26,[1]梦灵属性!$K$56:$K$104,1)</f>
        <v>6</v>
      </c>
      <c r="AK145" s="350">
        <f>MATCH(_xlfn.XLOOKUP(M145,[1]梦灵本体产出!$D$30:$D$38,[1]梦灵本体产出!$K$30:$K$38)*S145*10/[1]梦灵属性!$K$26,[1]梦灵属性!$K$56:$K$104,1)</f>
        <v>8</v>
      </c>
      <c r="AL145" s="350">
        <f>MATCH(_xlfn.XLOOKUP(N145,[1]梦灵本体产出!$D$30:$D$38,[1]梦灵本体产出!$K$30:$K$38)*T145*10/[1]梦灵属性!$K$26,[1]梦灵属性!$K$56:$K$104,1)</f>
        <v>9</v>
      </c>
      <c r="AM145" s="351"/>
      <c r="AN145" s="266">
        <v>1</v>
      </c>
      <c r="AO145" s="350">
        <f>IFERROR(MATCH(_xlfn.XLOOKUP(K145,[1]梦灵本体产出!$D$30:$D$38,[1]梦灵本体产出!$L$30:$L$38)*Q145*10/[1]梦灵属性!$K$26,[1]梦灵属性!$K$56:$K$104,1),0)</f>
        <v>0</v>
      </c>
      <c r="AP145" s="350">
        <f>MATCH(_xlfn.XLOOKUP(L145,[1]梦灵本体产出!$D$30:$D$38,[1]梦灵本体产出!$L$30:$L$38)*R145*10/[1]梦灵属性!$K$26,[1]梦灵属性!$K$56:$K$104,1)</f>
        <v>2</v>
      </c>
      <c r="AQ145" s="350">
        <f>MATCH(_xlfn.XLOOKUP(M145,[1]梦灵本体产出!$D$30:$D$38,[1]梦灵本体产出!$L$30:$L$38)*S145*10/[1]梦灵属性!$K$26,[1]梦灵属性!$K$56:$K$104,1)</f>
        <v>3</v>
      </c>
      <c r="AR145" s="350">
        <f>MATCH(_xlfn.XLOOKUP(N145,[1]梦灵本体产出!$D$30:$D$38,[1]梦灵本体产出!$L$30:$L$38)*T145*10/[1]梦灵属性!$K$26,[1]梦灵属性!$K$56:$K$104,1)</f>
        <v>4</v>
      </c>
      <c r="AS145" s="351"/>
      <c r="AT145" s="266">
        <v>1</v>
      </c>
      <c r="AU145" s="350">
        <f>IFERROR(MATCH(_xlfn.XLOOKUP(K145,[1]梦灵本体产出!$D$30:$D$38,[1]梦灵本体产出!$M$30:$M$38)*Q145*10/[1]梦灵属性!$K$26,[1]梦灵属性!$K$56:$K$104,1),0)</f>
        <v>0</v>
      </c>
      <c r="AV145" s="350">
        <f>IFERROR(MATCH(_xlfn.XLOOKUP(L145,[1]梦灵本体产出!$D$30:$D$38,[1]梦灵本体产出!$M$30:$M$38)*R145*10/[1]梦灵属性!$K$26,[1]梦灵属性!$K$56:$K$104,1),0)</f>
        <v>0</v>
      </c>
      <c r="AW145" s="350">
        <f>IFERROR(MATCH(_xlfn.XLOOKUP(M145,[1]梦灵本体产出!$D$30:$D$38,[1]梦灵本体产出!$M$30:$M$38)*S145*10/[1]梦灵属性!$K$26,[1]梦灵属性!$K$56:$K$104,1),0)</f>
        <v>0</v>
      </c>
      <c r="AX145" s="350">
        <f>IFERROR(MATCH(_xlfn.XLOOKUP(N145,[1]梦灵本体产出!$D$30:$D$38,[1]梦灵本体产出!$M$30:$M$38)*T145*10/[1]梦灵属性!$K$26,[1]梦灵属性!$K$56:$K$104,1),0)</f>
        <v>0</v>
      </c>
      <c r="AZ145" s="80">
        <f>AC145*1*3+AI145*1.2*6+AO145*1.4*6+AU145*1.6*6+150</f>
        <v>216</v>
      </c>
    </row>
    <row r="146" outlineLevel="1" spans="3:52">
      <c r="C146" s="80" t="s">
        <v>435</v>
      </c>
      <c r="D146" s="19">
        <v>2</v>
      </c>
      <c r="E146" s="19" t="s">
        <v>434</v>
      </c>
      <c r="F146" s="19" t="s">
        <v>434</v>
      </c>
      <c r="G146" s="19" t="s">
        <v>436</v>
      </c>
      <c r="H146" s="19" t="s">
        <v>436</v>
      </c>
      <c r="J146" s="19">
        <v>2</v>
      </c>
      <c r="K146" s="19">
        <v>2</v>
      </c>
      <c r="L146" s="19">
        <v>2</v>
      </c>
      <c r="M146" s="19">
        <v>2</v>
      </c>
      <c r="N146" s="19">
        <v>2</v>
      </c>
      <c r="P146" s="19">
        <v>2</v>
      </c>
      <c r="Q146" s="266">
        <v>395.542857142856</v>
      </c>
      <c r="R146" s="266">
        <v>564.209523809523</v>
      </c>
      <c r="S146" s="266">
        <v>800.971428571429</v>
      </c>
      <c r="T146" s="266">
        <v>948.214285714285</v>
      </c>
      <c r="V146" s="19">
        <v>2</v>
      </c>
      <c r="W146" s="350">
        <f t="shared" ref="W146:W155" si="8">100*30*1.1*7</f>
        <v>23100</v>
      </c>
      <c r="X146" s="350">
        <f t="shared" ref="X146:X155" si="9">130*1.1*30*7</f>
        <v>30030</v>
      </c>
      <c r="Y146" s="350">
        <f t="shared" ref="Y146:Y155" si="10">208*1.1*30*7</f>
        <v>48048</v>
      </c>
      <c r="Z146" s="350">
        <f t="shared" ref="Z146:Z155" si="11">275*1.1*30*7</f>
        <v>63525</v>
      </c>
      <c r="AB146" s="19">
        <v>2</v>
      </c>
      <c r="AC146" s="350">
        <f>MATCH(_xlfn.XLOOKUP(K146,[1]梦灵本体产出!$D$30:$D$38,[1]梦灵本体产出!$J$30:$J$38)*Q146*10/[1]梦灵属性!$K$26,[1]梦灵属性!$K$56:$K$104,1)</f>
        <v>13</v>
      </c>
      <c r="AD146" s="350">
        <f>MATCH(_xlfn.XLOOKUP(L146,[1]梦灵本体产出!$D$30:$D$38,[1]梦灵本体产出!$J$30:$J$38)*R146*10/[1]梦灵属性!$K$26,[1]梦灵属性!$K$56:$K$104,1)</f>
        <v>15</v>
      </c>
      <c r="AE146" s="350">
        <f>MATCH(_xlfn.XLOOKUP(M146,[1]梦灵本体产出!$D$30:$D$38,[1]梦灵本体产出!$J$30:$J$38)*S146*10/[1]梦灵属性!$K$26,[1]梦灵属性!$K$56:$K$104,1)</f>
        <v>19</v>
      </c>
      <c r="AF146" s="350">
        <f>MATCH(_xlfn.XLOOKUP(N146,[1]梦灵本体产出!$D$30:$D$38,[1]梦灵本体产出!$J$30:$J$38)*T146*10/[1]梦灵属性!$K$26,[1]梦灵属性!$K$56:$K$104,1)</f>
        <v>20</v>
      </c>
      <c r="AG146" s="351"/>
      <c r="AH146" s="266">
        <v>2</v>
      </c>
      <c r="AI146" s="350">
        <f>MATCH(_xlfn.XLOOKUP(K146,[1]梦灵本体产出!$D$30:$D$38,[1]梦灵本体产出!$K$30:$K$38)*Q146*10/[1]梦灵属性!$K$26,[1]梦灵属性!$K$56:$K$104,1)</f>
        <v>7</v>
      </c>
      <c r="AJ146" s="350">
        <f>MATCH(_xlfn.XLOOKUP(L146,[1]梦灵本体产出!$D$30:$D$38,[1]梦灵本体产出!$K$30:$K$38)*R146*10/[1]梦灵属性!$K$26,[1]梦灵属性!$K$56:$K$104,1)</f>
        <v>9</v>
      </c>
      <c r="AK146" s="350">
        <f>MATCH(_xlfn.XLOOKUP(M146,[1]梦灵本体产出!$D$30:$D$38,[1]梦灵本体产出!$K$30:$K$38)*S146*10/[1]梦灵属性!$K$26,[1]梦灵属性!$K$56:$K$104,1)</f>
        <v>11</v>
      </c>
      <c r="AL146" s="350">
        <f>MATCH(_xlfn.XLOOKUP(N146,[1]梦灵本体产出!$D$30:$D$38,[1]梦灵本体产出!$K$30:$K$38)*T146*10/[1]梦灵属性!$K$26,[1]梦灵属性!$K$56:$K$104,1)</f>
        <v>12</v>
      </c>
      <c r="AM146" s="351"/>
      <c r="AN146" s="266">
        <v>2</v>
      </c>
      <c r="AO146" s="350">
        <f>MATCH(_xlfn.XLOOKUP(K146,[1]梦灵本体产出!$D$30:$D$38,[1]梦灵本体产出!$L$30:$L$38)*Q146*10/[1]梦灵属性!$K$26,[1]梦灵属性!$K$56:$K$104,1)</f>
        <v>3</v>
      </c>
      <c r="AP146" s="350">
        <f>MATCH(_xlfn.XLOOKUP(L146,[1]梦灵本体产出!$D$30:$D$38,[1]梦灵本体产出!$L$30:$L$38)*R146*10/[1]梦灵属性!$K$26,[1]梦灵属性!$K$56:$K$104,1)</f>
        <v>4</v>
      </c>
      <c r="AQ146" s="350">
        <f>MATCH(_xlfn.XLOOKUP(M146,[1]梦灵本体产出!$D$30:$D$38,[1]梦灵本体产出!$L$30:$L$38)*S146*10/[1]梦灵属性!$K$26,[1]梦灵属性!$K$56:$K$104,1)</f>
        <v>4</v>
      </c>
      <c r="AR146" s="350">
        <f>MATCH(_xlfn.XLOOKUP(N146,[1]梦灵本体产出!$D$30:$D$38,[1]梦灵本体产出!$L$30:$L$38)*T146*10/[1]梦灵属性!$K$26,[1]梦灵属性!$K$56:$K$104,1)</f>
        <v>5</v>
      </c>
      <c r="AS146" s="351"/>
      <c r="AT146" s="266">
        <v>2</v>
      </c>
      <c r="AU146" s="350">
        <f>IFERROR(MATCH(_xlfn.XLOOKUP(K146,[1]梦灵本体产出!$D$30:$D$38,[1]梦灵本体产出!$M$30:$M$38)*Q146*10/[1]梦灵属性!$K$26,[1]梦灵属性!$K$56:$K$104,1),0)</f>
        <v>0</v>
      </c>
      <c r="AV146" s="350">
        <f>IFERROR(MATCH(_xlfn.XLOOKUP(L146,[1]梦灵本体产出!$D$30:$D$38,[1]梦灵本体产出!$M$30:$M$38)*R146*10/[1]梦灵属性!$K$26,[1]梦灵属性!$K$56:$K$104,1),0)</f>
        <v>0</v>
      </c>
      <c r="AW146" s="350">
        <f>IFERROR(MATCH(_xlfn.XLOOKUP(M146,[1]梦灵本体产出!$D$30:$D$38,[1]梦灵本体产出!$M$30:$M$38)*S146*10/[1]梦灵属性!$K$26,[1]梦灵属性!$K$56:$K$104,1),0)</f>
        <v>0</v>
      </c>
      <c r="AX146" s="350">
        <f>IFERROR(MATCH(_xlfn.XLOOKUP(N146,[1]梦灵本体产出!$D$30:$D$38,[1]梦灵本体产出!$M$30:$M$38)*T146*10/[1]梦灵属性!$K$26,[1]梦灵属性!$K$56:$K$104,1),0)</f>
        <v>0</v>
      </c>
      <c r="AZ146" s="80">
        <f t="shared" ref="AZ146:AZ177" si="12">AC146*1*3+AI146*1.2*6+AO146*1.4*6+AU146*1.6*6+150</f>
        <v>264.6</v>
      </c>
    </row>
    <row r="147" outlineLevel="1" spans="3:52">
      <c r="C147" s="80" t="s">
        <v>435</v>
      </c>
      <c r="D147" s="19">
        <v>3</v>
      </c>
      <c r="E147" s="19" t="s">
        <v>434</v>
      </c>
      <c r="F147" s="19" t="s">
        <v>436</v>
      </c>
      <c r="G147" s="19" t="s">
        <v>437</v>
      </c>
      <c r="H147" s="19" t="s">
        <v>437</v>
      </c>
      <c r="J147" s="19">
        <v>3</v>
      </c>
      <c r="K147" s="19">
        <v>2</v>
      </c>
      <c r="L147" s="19">
        <v>2</v>
      </c>
      <c r="M147" s="19">
        <v>2</v>
      </c>
      <c r="N147" s="19">
        <v>3</v>
      </c>
      <c r="P147" s="19">
        <v>3</v>
      </c>
      <c r="Q147" s="266">
        <v>624.814285714284</v>
      </c>
      <c r="R147" s="266">
        <v>767.814285714285</v>
      </c>
      <c r="S147" s="266">
        <v>1089.95714285714</v>
      </c>
      <c r="T147" s="266">
        <v>1310.82142857143</v>
      </c>
      <c r="V147" s="19">
        <v>3</v>
      </c>
      <c r="W147" s="350">
        <f t="shared" si="8"/>
        <v>23100</v>
      </c>
      <c r="X147" s="350">
        <f t="shared" si="9"/>
        <v>30030</v>
      </c>
      <c r="Y147" s="350">
        <f t="shared" si="10"/>
        <v>48048</v>
      </c>
      <c r="Z147" s="350">
        <f t="shared" si="11"/>
        <v>63525</v>
      </c>
      <c r="AB147" s="19">
        <v>3</v>
      </c>
      <c r="AC147" s="350">
        <f>MATCH(_xlfn.XLOOKUP(K147,[1]梦灵本体产出!$D$30:$D$38,[1]梦灵本体产出!$J$30:$J$38)*Q147*10/[1]梦灵属性!$K$26,[1]梦灵属性!$K$56:$K$104,1)</f>
        <v>16</v>
      </c>
      <c r="AD147" s="350">
        <f>MATCH(_xlfn.XLOOKUP(L147,[1]梦灵本体产出!$D$30:$D$38,[1]梦灵本体产出!$J$30:$J$38)*R147*10/[1]梦灵属性!$K$26,[1]梦灵属性!$K$56:$K$104,1)</f>
        <v>18</v>
      </c>
      <c r="AE147" s="350">
        <f>MATCH(_xlfn.XLOOKUP(M147,[1]梦灵本体产出!$D$30:$D$38,[1]梦灵本体产出!$J$30:$J$38)*S147*10/[1]梦灵属性!$K$26,[1]梦灵属性!$K$56:$K$104,1)</f>
        <v>21</v>
      </c>
      <c r="AF147" s="350">
        <f>MATCH(_xlfn.XLOOKUP(N147,[1]梦灵本体产出!$D$30:$D$38,[1]梦灵本体产出!$J$30:$J$38)*T147*10/[1]梦灵属性!$K$26,[1]梦灵属性!$K$56:$K$104,1)</f>
        <v>22</v>
      </c>
      <c r="AG147" s="351"/>
      <c r="AH147" s="266">
        <v>3</v>
      </c>
      <c r="AI147" s="350">
        <f>MATCH(_xlfn.XLOOKUP(K147,[1]梦灵本体产出!$D$30:$D$38,[1]梦灵本体产出!$K$30:$K$38)*Q147*10/[1]梦灵属性!$K$26,[1]梦灵属性!$K$56:$K$104,1)</f>
        <v>9</v>
      </c>
      <c r="AJ147" s="350">
        <f>MATCH(_xlfn.XLOOKUP(L147,[1]梦灵本体产出!$D$30:$D$38,[1]梦灵本体产出!$K$30:$K$38)*R147*10/[1]梦灵属性!$K$26,[1]梦灵属性!$K$56:$K$104,1)</f>
        <v>10</v>
      </c>
      <c r="AK147" s="350">
        <f>MATCH(_xlfn.XLOOKUP(M147,[1]梦灵本体产出!$D$30:$D$38,[1]梦灵本体产出!$K$30:$K$38)*S147*10/[1]梦灵属性!$K$26,[1]梦灵属性!$K$56:$K$104,1)</f>
        <v>13</v>
      </c>
      <c r="AL147" s="350">
        <f>MATCH(_xlfn.XLOOKUP(N147,[1]梦灵本体产出!$D$30:$D$38,[1]梦灵本体产出!$K$30:$K$38)*T147*10/[1]梦灵属性!$K$26,[1]梦灵属性!$K$56:$K$104,1)</f>
        <v>15</v>
      </c>
      <c r="AM147" s="351"/>
      <c r="AN147" s="266">
        <v>3</v>
      </c>
      <c r="AO147" s="350">
        <f>MATCH(_xlfn.XLOOKUP(K147,[1]梦灵本体产出!$D$30:$D$38,[1]梦灵本体产出!$L$30:$L$38)*Q147*10/[1]梦灵属性!$K$26,[1]梦灵属性!$K$56:$K$104,1)</f>
        <v>4</v>
      </c>
      <c r="AP147" s="350">
        <f>MATCH(_xlfn.XLOOKUP(L147,[1]梦灵本体产出!$D$30:$D$38,[1]梦灵本体产出!$L$30:$L$38)*R147*10/[1]梦灵属性!$K$26,[1]梦灵属性!$K$56:$K$104,1)</f>
        <v>4</v>
      </c>
      <c r="AQ147" s="350">
        <f>MATCH(_xlfn.XLOOKUP(M147,[1]梦灵本体产出!$D$30:$D$38,[1]梦灵本体产出!$L$30:$L$38)*S147*10/[1]梦灵属性!$K$26,[1]梦灵属性!$K$56:$K$104,1)</f>
        <v>5</v>
      </c>
      <c r="AR147" s="350">
        <f>MATCH(_xlfn.XLOOKUP(N147,[1]梦灵本体产出!$D$30:$D$38,[1]梦灵本体产出!$L$30:$L$38)*T147*10/[1]梦灵属性!$K$26,[1]梦灵属性!$K$56:$K$104,1)</f>
        <v>9</v>
      </c>
      <c r="AS147" s="351"/>
      <c r="AT147" s="266">
        <v>3</v>
      </c>
      <c r="AU147" s="350">
        <f>IFERROR(MATCH(_xlfn.XLOOKUP(K147,[1]梦灵本体产出!$D$30:$D$38,[1]梦灵本体产出!$M$30:$M$38)*Q147*10/[1]梦灵属性!$K$26,[1]梦灵属性!$K$56:$K$104,1),0)</f>
        <v>0</v>
      </c>
      <c r="AV147" s="350">
        <f>IFERROR(MATCH(_xlfn.XLOOKUP(L147,[1]梦灵本体产出!$D$30:$D$38,[1]梦灵本体产出!$M$30:$M$38)*R147*10/[1]梦灵属性!$K$26,[1]梦灵属性!$K$56:$K$104,1),0)</f>
        <v>0</v>
      </c>
      <c r="AW147" s="350">
        <f>IFERROR(MATCH(_xlfn.XLOOKUP(M147,[1]梦灵本体产出!$D$30:$D$38,[1]梦灵本体产出!$M$30:$M$38)*S147*10/[1]梦灵属性!$K$26,[1]梦灵属性!$K$56:$K$104,1),0)</f>
        <v>0</v>
      </c>
      <c r="AX147" s="350">
        <f>IFERROR(MATCH(_xlfn.XLOOKUP(N147,[1]梦灵本体产出!$D$30:$D$38,[1]梦灵本体产出!$M$30:$M$38)*T147*10/[1]梦灵属性!$K$26,[1]梦灵属性!$K$56:$K$104,1),0)</f>
        <v>0</v>
      </c>
      <c r="AZ147" s="80">
        <f t="shared" si="12"/>
        <v>296.4</v>
      </c>
    </row>
    <row r="148" outlineLevel="1" spans="3:52">
      <c r="C148" s="80" t="s">
        <v>438</v>
      </c>
      <c r="D148" s="19">
        <v>4</v>
      </c>
      <c r="E148" s="19" t="s">
        <v>436</v>
      </c>
      <c r="F148" s="19" t="s">
        <v>437</v>
      </c>
      <c r="G148" s="19" t="s">
        <v>439</v>
      </c>
      <c r="H148" s="19" t="s">
        <v>439</v>
      </c>
      <c r="J148" s="19">
        <v>4</v>
      </c>
      <c r="K148" s="19">
        <v>2</v>
      </c>
      <c r="L148" s="19">
        <v>2</v>
      </c>
      <c r="M148" s="19">
        <v>3</v>
      </c>
      <c r="N148" s="19">
        <v>3</v>
      </c>
      <c r="P148" s="19">
        <v>4</v>
      </c>
      <c r="Q148" s="266">
        <v>881.585714285712</v>
      </c>
      <c r="R148" s="266">
        <v>1053.91904761905</v>
      </c>
      <c r="S148" s="266">
        <v>1477.94285714286</v>
      </c>
      <c r="T148" s="266">
        <v>1772.42857142857</v>
      </c>
      <c r="V148" s="19">
        <v>4</v>
      </c>
      <c r="W148" s="350">
        <f t="shared" si="8"/>
        <v>23100</v>
      </c>
      <c r="X148" s="350">
        <f t="shared" si="9"/>
        <v>30030</v>
      </c>
      <c r="Y148" s="350">
        <f t="shared" si="10"/>
        <v>48048</v>
      </c>
      <c r="Z148" s="350">
        <f t="shared" si="11"/>
        <v>63525</v>
      </c>
      <c r="AB148" s="19">
        <v>4</v>
      </c>
      <c r="AC148" s="350">
        <f>MATCH(_xlfn.XLOOKUP(K148,[1]梦灵本体产出!$D$30:$D$38,[1]梦灵本体产出!$J$30:$J$38)*Q148*10/[1]梦灵属性!$K$26,[1]梦灵属性!$K$56:$K$104,1)</f>
        <v>19</v>
      </c>
      <c r="AD148" s="350">
        <f>MATCH(_xlfn.XLOOKUP(L148,[1]梦灵本体产出!$D$30:$D$38,[1]梦灵本体产出!$J$30:$J$38)*R148*10/[1]梦灵属性!$K$26,[1]梦灵属性!$K$56:$K$104,1)</f>
        <v>21</v>
      </c>
      <c r="AE148" s="350">
        <f>MATCH(_xlfn.XLOOKUP(M148,[1]梦灵本体产出!$D$30:$D$38,[1]梦灵本体产出!$J$30:$J$38)*S148*10/[1]梦灵属性!$K$26,[1]梦灵属性!$K$56:$K$104,1)</f>
        <v>23</v>
      </c>
      <c r="AF148" s="350">
        <f>MATCH(_xlfn.XLOOKUP(N148,[1]梦灵本体产出!$D$30:$D$38,[1]梦灵本体产出!$J$30:$J$38)*T148*10/[1]梦灵属性!$K$26,[1]梦灵属性!$K$56:$K$104,1)</f>
        <v>25</v>
      </c>
      <c r="AG148" s="351"/>
      <c r="AH148" s="266">
        <v>4</v>
      </c>
      <c r="AI148" s="350">
        <f>MATCH(_xlfn.XLOOKUP(K148,[1]梦灵本体产出!$D$30:$D$38,[1]梦灵本体产出!$K$30:$K$38)*Q148*10/[1]梦灵属性!$K$26,[1]梦灵属性!$K$56:$K$104,1)</f>
        <v>11</v>
      </c>
      <c r="AJ148" s="350">
        <f>MATCH(_xlfn.XLOOKUP(L148,[1]梦灵本体产出!$D$30:$D$38,[1]梦灵本体产出!$K$30:$K$38)*R148*10/[1]梦灵属性!$K$26,[1]梦灵属性!$K$56:$K$104,1)</f>
        <v>12</v>
      </c>
      <c r="AK148" s="350">
        <f>MATCH(_xlfn.XLOOKUP(M148,[1]梦灵本体产出!$D$30:$D$38,[1]梦灵本体产出!$K$30:$K$38)*S148*10/[1]梦灵属性!$K$26,[1]梦灵属性!$K$56:$K$104,1)</f>
        <v>16</v>
      </c>
      <c r="AL148" s="350">
        <f>MATCH(_xlfn.XLOOKUP(N148,[1]梦灵本体产出!$D$30:$D$38,[1]梦灵本体产出!$K$30:$K$38)*T148*10/[1]梦灵属性!$K$26,[1]梦灵属性!$K$56:$K$104,1)</f>
        <v>17</v>
      </c>
      <c r="AM148" s="351"/>
      <c r="AN148" s="266">
        <v>4</v>
      </c>
      <c r="AO148" s="350">
        <f>MATCH(_xlfn.XLOOKUP(K148,[1]梦灵本体产出!$D$30:$D$38,[1]梦灵本体产出!$L$30:$L$38)*Q148*10/[1]梦灵属性!$K$26,[1]梦灵属性!$K$56:$K$104,1)</f>
        <v>5</v>
      </c>
      <c r="AP148" s="350">
        <f>MATCH(_xlfn.XLOOKUP(L148,[1]梦灵本体产出!$D$30:$D$38,[1]梦灵本体产出!$L$30:$L$38)*R148*10/[1]梦灵属性!$K$26,[1]梦灵属性!$K$56:$K$104,1)</f>
        <v>5</v>
      </c>
      <c r="AQ148" s="350">
        <f>MATCH(_xlfn.XLOOKUP(M148,[1]梦灵本体产出!$D$30:$D$38,[1]梦灵本体产出!$L$30:$L$38)*S148*10/[1]梦灵属性!$K$26,[1]梦灵属性!$K$56:$K$104,1)</f>
        <v>9</v>
      </c>
      <c r="AR148" s="350">
        <f>MATCH(_xlfn.XLOOKUP(N148,[1]梦灵本体产出!$D$30:$D$38,[1]梦灵本体产出!$L$30:$L$38)*T148*10/[1]梦灵属性!$K$26,[1]梦灵属性!$K$56:$K$104,1)</f>
        <v>10</v>
      </c>
      <c r="AS148" s="351"/>
      <c r="AT148" s="266">
        <v>4</v>
      </c>
      <c r="AU148" s="350">
        <f>IFERROR(MATCH(_xlfn.XLOOKUP(K148,[1]梦灵本体产出!$D$30:$D$38,[1]梦灵本体产出!$M$30:$M$38)*Q148*10/[1]梦灵属性!$K$26,[1]梦灵属性!$K$56:$K$104,1),0)</f>
        <v>0</v>
      </c>
      <c r="AV148" s="350">
        <f>IFERROR(MATCH(_xlfn.XLOOKUP(L148,[1]梦灵本体产出!$D$30:$D$38,[1]梦灵本体产出!$M$30:$M$38)*R148*10/[1]梦灵属性!$K$26,[1]梦灵属性!$K$56:$K$104,1),0)</f>
        <v>0</v>
      </c>
      <c r="AW148" s="350">
        <f>IFERROR(MATCH(_xlfn.XLOOKUP(M148,[1]梦灵本体产出!$D$30:$D$38,[1]梦灵本体产出!$M$30:$M$38)*S148*10/[1]梦灵属性!$K$26,[1]梦灵属性!$K$56:$K$104,1),0)</f>
        <v>0</v>
      </c>
      <c r="AX148" s="350">
        <f>IFERROR(MATCH(_xlfn.XLOOKUP(N148,[1]梦灵本体产出!$D$30:$D$38,[1]梦灵本体产出!$M$30:$M$38)*T148*10/[1]梦灵属性!$K$26,[1]梦灵属性!$K$56:$K$104,1),0)</f>
        <v>0</v>
      </c>
      <c r="AZ148" s="80">
        <f t="shared" si="12"/>
        <v>328.2</v>
      </c>
    </row>
    <row r="149" outlineLevel="1" spans="3:52">
      <c r="C149" s="80" t="s">
        <v>440</v>
      </c>
      <c r="D149" s="19">
        <v>5</v>
      </c>
      <c r="E149" s="19" t="s">
        <v>437</v>
      </c>
      <c r="F149" s="19" t="s">
        <v>437</v>
      </c>
      <c r="G149" s="19" t="s">
        <v>439</v>
      </c>
      <c r="H149" s="19" t="s">
        <v>441</v>
      </c>
      <c r="J149" s="19">
        <v>5</v>
      </c>
      <c r="K149" s="19">
        <v>2</v>
      </c>
      <c r="L149" s="19">
        <v>2</v>
      </c>
      <c r="M149" s="19">
        <v>3</v>
      </c>
      <c r="N149" s="19">
        <v>3</v>
      </c>
      <c r="P149" s="19">
        <v>5</v>
      </c>
      <c r="Q149" s="266">
        <v>1044.85714285714</v>
      </c>
      <c r="R149" s="266">
        <v>1246.52380952381</v>
      </c>
      <c r="S149" s="266">
        <v>1761.42857142857</v>
      </c>
      <c r="T149" s="266">
        <v>2129.53571428571</v>
      </c>
      <c r="V149" s="19">
        <v>5</v>
      </c>
      <c r="W149" s="350">
        <f t="shared" si="8"/>
        <v>23100</v>
      </c>
      <c r="X149" s="350">
        <f t="shared" si="9"/>
        <v>30030</v>
      </c>
      <c r="Y149" s="350">
        <f t="shared" si="10"/>
        <v>48048</v>
      </c>
      <c r="Z149" s="350">
        <f t="shared" si="11"/>
        <v>63525</v>
      </c>
      <c r="AB149" s="19">
        <v>5</v>
      </c>
      <c r="AC149" s="350">
        <f>MATCH(_xlfn.XLOOKUP(K149,[1]梦灵本体产出!$D$30:$D$38,[1]梦灵本体产出!$J$30:$J$38)*Q149*10/[1]梦灵属性!$K$26,[1]梦灵属性!$K$56:$K$104,1)</f>
        <v>21</v>
      </c>
      <c r="AD149" s="350">
        <f>MATCH(_xlfn.XLOOKUP(L149,[1]梦灵本体产出!$D$30:$D$38,[1]梦灵本体产出!$J$30:$J$38)*R149*10/[1]梦灵属性!$K$26,[1]梦灵属性!$K$56:$K$104,1)</f>
        <v>23</v>
      </c>
      <c r="AE149" s="350">
        <f>MATCH(_xlfn.XLOOKUP(M149,[1]梦灵本体产出!$D$30:$D$38,[1]梦灵本体产出!$J$30:$J$38)*S149*10/[1]梦灵属性!$K$26,[1]梦灵属性!$K$56:$K$104,1)</f>
        <v>25</v>
      </c>
      <c r="AF149" s="350">
        <f>MATCH(_xlfn.XLOOKUP(N149,[1]梦灵本体产出!$D$30:$D$38,[1]梦灵本体产出!$J$30:$J$38)*T149*10/[1]梦灵属性!$K$26,[1]梦灵属性!$K$56:$K$104,1)</f>
        <v>26</v>
      </c>
      <c r="AG149" s="351"/>
      <c r="AH149" s="266">
        <v>5</v>
      </c>
      <c r="AI149" s="350">
        <f>MATCH(_xlfn.XLOOKUP(K149,[1]梦灵本体产出!$D$30:$D$38,[1]梦灵本体产出!$K$30:$K$38)*Q149*10/[1]梦灵属性!$K$26,[1]梦灵属性!$K$56:$K$104,1)</f>
        <v>12</v>
      </c>
      <c r="AJ149" s="350">
        <f>MATCH(_xlfn.XLOOKUP(L149,[1]梦灵本体产出!$D$30:$D$38,[1]梦灵本体产出!$K$30:$K$38)*R149*10/[1]梦灵属性!$K$26,[1]梦灵属性!$K$56:$K$104,1)</f>
        <v>14</v>
      </c>
      <c r="AK149" s="350">
        <f>MATCH(_xlfn.XLOOKUP(M149,[1]梦灵本体产出!$D$30:$D$38,[1]梦灵本体产出!$K$30:$K$38)*S149*10/[1]梦灵属性!$K$26,[1]梦灵属性!$K$56:$K$104,1)</f>
        <v>17</v>
      </c>
      <c r="AL149" s="350">
        <f>MATCH(_xlfn.XLOOKUP(N149,[1]梦灵本体产出!$D$30:$D$38,[1]梦灵本体产出!$K$30:$K$38)*T149*10/[1]梦灵属性!$K$26,[1]梦灵属性!$K$56:$K$104,1)</f>
        <v>19</v>
      </c>
      <c r="AM149" s="351"/>
      <c r="AN149" s="266">
        <v>5</v>
      </c>
      <c r="AO149" s="350">
        <f>MATCH(_xlfn.XLOOKUP(K149,[1]梦灵本体产出!$D$30:$D$38,[1]梦灵本体产出!$L$30:$L$38)*Q149*10/[1]梦灵属性!$K$26,[1]梦灵属性!$K$56:$K$104,1)</f>
        <v>5</v>
      </c>
      <c r="AP149" s="350">
        <f>MATCH(_xlfn.XLOOKUP(L149,[1]梦灵本体产出!$D$30:$D$38,[1]梦灵本体产出!$L$30:$L$38)*R149*10/[1]梦灵属性!$K$26,[1]梦灵属性!$K$56:$K$104,1)</f>
        <v>6</v>
      </c>
      <c r="AQ149" s="350">
        <f>MATCH(_xlfn.XLOOKUP(M149,[1]梦灵本体产出!$D$30:$D$38,[1]梦灵本体产出!$L$30:$L$38)*S149*10/[1]梦灵属性!$K$26,[1]梦灵属性!$K$56:$K$104,1)</f>
        <v>10</v>
      </c>
      <c r="AR149" s="350">
        <f>MATCH(_xlfn.XLOOKUP(N149,[1]梦灵本体产出!$D$30:$D$38,[1]梦灵本体产出!$L$30:$L$38)*T149*10/[1]梦灵属性!$K$26,[1]梦灵属性!$K$56:$K$104,1)</f>
        <v>11</v>
      </c>
      <c r="AS149" s="351"/>
      <c r="AT149" s="266">
        <v>5</v>
      </c>
      <c r="AU149" s="350">
        <f>IFERROR(MATCH(_xlfn.XLOOKUP(K149,[1]梦灵本体产出!$D$30:$D$38,[1]梦灵本体产出!$M$30:$M$38)*Q149*10/[1]梦灵属性!$K$26,[1]梦灵属性!$K$56:$K$104,1),0)</f>
        <v>0</v>
      </c>
      <c r="AV149" s="350">
        <f>IFERROR(MATCH(_xlfn.XLOOKUP(L149,[1]梦灵本体产出!$D$30:$D$38,[1]梦灵本体产出!$M$30:$M$38)*R149*10/[1]梦灵属性!$K$26,[1]梦灵属性!$K$56:$K$104,1),0)</f>
        <v>0</v>
      </c>
      <c r="AW149" s="350">
        <f>IFERROR(MATCH(_xlfn.XLOOKUP(M149,[1]梦灵本体产出!$D$30:$D$38,[1]梦灵本体产出!$M$30:$M$38)*S149*10/[1]梦灵属性!$K$26,[1]梦灵属性!$K$56:$K$104,1),0)</f>
        <v>0</v>
      </c>
      <c r="AX149" s="350">
        <f>IFERROR(MATCH(_xlfn.XLOOKUP(N149,[1]梦灵本体产出!$D$30:$D$38,[1]梦灵本体产出!$M$30:$M$38)*T149*10/[1]梦灵属性!$K$26,[1]梦灵属性!$K$56:$K$104,1),0)</f>
        <v>0</v>
      </c>
      <c r="AZ149" s="80">
        <f t="shared" si="12"/>
        <v>341.4</v>
      </c>
    </row>
    <row r="150" outlineLevel="1" spans="3:52">
      <c r="C150" s="80" t="s">
        <v>440</v>
      </c>
      <c r="D150" s="19">
        <v>6</v>
      </c>
      <c r="E150" s="19" t="s">
        <v>437</v>
      </c>
      <c r="F150" s="19" t="s">
        <v>439</v>
      </c>
      <c r="G150" s="19" t="s">
        <v>441</v>
      </c>
      <c r="H150" s="19" t="s">
        <v>441</v>
      </c>
      <c r="J150" s="19">
        <v>6</v>
      </c>
      <c r="K150" s="19">
        <v>2</v>
      </c>
      <c r="L150" s="19">
        <v>3</v>
      </c>
      <c r="M150" s="19">
        <v>3</v>
      </c>
      <c r="N150" s="19">
        <v>3</v>
      </c>
      <c r="P150" s="19">
        <v>6</v>
      </c>
      <c r="Q150" s="266">
        <v>1208.12857142857</v>
      </c>
      <c r="R150" s="266">
        <v>1439.12857142857</v>
      </c>
      <c r="S150" s="266">
        <v>2039.41428571429</v>
      </c>
      <c r="T150" s="266">
        <v>2481.14285714286</v>
      </c>
      <c r="V150" s="19">
        <v>6</v>
      </c>
      <c r="W150" s="350">
        <f t="shared" si="8"/>
        <v>23100</v>
      </c>
      <c r="X150" s="350">
        <f t="shared" si="9"/>
        <v>30030</v>
      </c>
      <c r="Y150" s="350">
        <f t="shared" si="10"/>
        <v>48048</v>
      </c>
      <c r="Z150" s="350">
        <f t="shared" si="11"/>
        <v>63525</v>
      </c>
      <c r="AB150" s="19">
        <v>6</v>
      </c>
      <c r="AC150" s="350">
        <f>MATCH(_xlfn.XLOOKUP(K150,[1]梦灵本体产出!$D$30:$D$38,[1]梦灵本体产出!$J$30:$J$38)*Q150*10/[1]梦灵属性!$K$26,[1]梦灵属性!$K$56:$K$104,1)</f>
        <v>23</v>
      </c>
      <c r="AD150" s="350">
        <f>MATCH(_xlfn.XLOOKUP(L150,[1]梦灵本体产出!$D$30:$D$38,[1]梦灵本体产出!$J$30:$J$38)*R150*10/[1]梦灵属性!$K$26,[1]梦灵属性!$K$56:$K$104,1)</f>
        <v>23</v>
      </c>
      <c r="AE150" s="350">
        <f>MATCH(_xlfn.XLOOKUP(M150,[1]梦灵本体产出!$D$30:$D$38,[1]梦灵本体产出!$J$30:$J$38)*S150*10/[1]梦灵属性!$K$26,[1]梦灵属性!$K$56:$K$104,1)</f>
        <v>26</v>
      </c>
      <c r="AF150" s="350">
        <f>MATCH(_xlfn.XLOOKUP(N150,[1]梦灵本体产出!$D$30:$D$38,[1]梦灵本体产出!$J$30:$J$38)*T150*10/[1]梦灵属性!$K$26,[1]梦灵属性!$K$56:$K$104,1)</f>
        <v>28</v>
      </c>
      <c r="AG150" s="351"/>
      <c r="AH150" s="266">
        <v>6</v>
      </c>
      <c r="AI150" s="350">
        <f>MATCH(_xlfn.XLOOKUP(K150,[1]梦灵本体产出!$D$30:$D$38,[1]梦灵本体产出!$K$30:$K$38)*Q150*10/[1]梦灵属性!$K$26,[1]梦灵属性!$K$56:$K$104,1)</f>
        <v>13</v>
      </c>
      <c r="AJ150" s="350">
        <f>MATCH(_xlfn.XLOOKUP(L150,[1]梦灵本体产出!$D$30:$D$38,[1]梦灵本体产出!$K$30:$K$38)*R150*10/[1]梦灵属性!$K$26,[1]梦灵属性!$K$56:$K$104,1)</f>
        <v>16</v>
      </c>
      <c r="AK150" s="350">
        <f>MATCH(_xlfn.XLOOKUP(M150,[1]梦灵本体产出!$D$30:$D$38,[1]梦灵本体产出!$K$30:$K$38)*S150*10/[1]梦灵属性!$K$26,[1]梦灵属性!$K$56:$K$104,1)</f>
        <v>19</v>
      </c>
      <c r="AL150" s="350">
        <f>MATCH(_xlfn.XLOOKUP(N150,[1]梦灵本体产出!$D$30:$D$38,[1]梦灵本体产出!$K$30:$K$38)*T150*10/[1]梦灵属性!$K$26,[1]梦灵属性!$K$56:$K$104,1)</f>
        <v>20</v>
      </c>
      <c r="AM150" s="351"/>
      <c r="AN150" s="266">
        <v>6</v>
      </c>
      <c r="AO150" s="350">
        <f>MATCH(_xlfn.XLOOKUP(K150,[1]梦灵本体产出!$D$30:$D$38,[1]梦灵本体产出!$L$30:$L$38)*Q150*10/[1]梦灵属性!$K$26,[1]梦灵属性!$K$56:$K$104,1)</f>
        <v>6</v>
      </c>
      <c r="AP150" s="350">
        <f>MATCH(_xlfn.XLOOKUP(L150,[1]梦灵本体产出!$D$30:$D$38,[1]梦灵本体产出!$L$30:$L$38)*R150*10/[1]梦灵属性!$K$26,[1]梦灵属性!$K$56:$K$104,1)</f>
        <v>9</v>
      </c>
      <c r="AQ150" s="350">
        <f>MATCH(_xlfn.XLOOKUP(M150,[1]梦灵本体产出!$D$30:$D$38,[1]梦灵本体产出!$L$30:$L$38)*S150*10/[1]梦灵属性!$K$26,[1]梦灵属性!$K$56:$K$104,1)</f>
        <v>11</v>
      </c>
      <c r="AR150" s="350">
        <f>MATCH(_xlfn.XLOOKUP(N150,[1]梦灵本体产出!$D$30:$D$38,[1]梦灵本体产出!$L$30:$L$38)*T150*10/[1]梦灵属性!$K$26,[1]梦灵属性!$K$56:$K$104,1)</f>
        <v>12</v>
      </c>
      <c r="AS150" s="351"/>
      <c r="AT150" s="266">
        <v>6</v>
      </c>
      <c r="AU150" s="350">
        <f>IFERROR(MATCH(_xlfn.XLOOKUP(K150,[1]梦灵本体产出!$D$30:$D$38,[1]梦灵本体产出!$M$30:$M$38)*Q150*10/[1]梦灵属性!$K$26,[1]梦灵属性!$K$56:$K$104,1),0)</f>
        <v>0</v>
      </c>
      <c r="AV150" s="350">
        <f>IFERROR(MATCH(_xlfn.XLOOKUP(L150,[1]梦灵本体产出!$D$30:$D$38,[1]梦灵本体产出!$M$30:$M$38)*R150*10/[1]梦灵属性!$K$26,[1]梦灵属性!$K$56:$K$104,1),0)</f>
        <v>0</v>
      </c>
      <c r="AW150" s="350">
        <f>IFERROR(MATCH(_xlfn.XLOOKUP(M150,[1]梦灵本体产出!$D$30:$D$38,[1]梦灵本体产出!$M$30:$M$38)*S150*10/[1]梦灵属性!$K$26,[1]梦灵属性!$K$56:$K$104,1),0)</f>
        <v>0</v>
      </c>
      <c r="AX150" s="350">
        <f>IFERROR(MATCH(_xlfn.XLOOKUP(N150,[1]梦灵本体产出!$D$30:$D$38,[1]梦灵本体产出!$M$30:$M$38)*T150*10/[1]梦灵属性!$K$26,[1]梦灵属性!$K$56:$K$104,1),0)</f>
        <v>0</v>
      </c>
      <c r="AZ150" s="80">
        <f t="shared" si="12"/>
        <v>363</v>
      </c>
    </row>
    <row r="151" outlineLevel="1" spans="3:52">
      <c r="C151" s="80" t="s">
        <v>442</v>
      </c>
      <c r="D151" s="19">
        <v>7</v>
      </c>
      <c r="E151" s="19" t="s">
        <v>439</v>
      </c>
      <c r="F151" s="19" t="s">
        <v>439</v>
      </c>
      <c r="G151" s="19" t="s">
        <v>441</v>
      </c>
      <c r="H151" s="19" t="s">
        <v>441</v>
      </c>
      <c r="J151" s="19">
        <v>7</v>
      </c>
      <c r="K151" s="19">
        <v>3</v>
      </c>
      <c r="L151" s="19">
        <v>3</v>
      </c>
      <c r="M151" s="19">
        <v>3</v>
      </c>
      <c r="N151" s="19">
        <v>3</v>
      </c>
      <c r="P151" s="19">
        <v>7</v>
      </c>
      <c r="Q151" s="266">
        <v>1481.4</v>
      </c>
      <c r="R151" s="266">
        <v>1741.73333333333</v>
      </c>
      <c r="S151" s="266">
        <v>2427.4</v>
      </c>
      <c r="T151" s="266">
        <v>2942.75</v>
      </c>
      <c r="V151" s="19">
        <v>7</v>
      </c>
      <c r="W151" s="350">
        <f t="shared" si="8"/>
        <v>23100</v>
      </c>
      <c r="X151" s="350">
        <f t="shared" si="9"/>
        <v>30030</v>
      </c>
      <c r="Y151" s="350">
        <f t="shared" si="10"/>
        <v>48048</v>
      </c>
      <c r="Z151" s="350">
        <f t="shared" si="11"/>
        <v>63525</v>
      </c>
      <c r="AB151" s="19">
        <v>7</v>
      </c>
      <c r="AC151" s="350">
        <f>MATCH(_xlfn.XLOOKUP(K151,[1]梦灵本体产出!$D$30:$D$38,[1]梦灵本体产出!$J$30:$J$38)*Q151*10/[1]梦灵属性!$K$26,[1]梦灵属性!$K$56:$K$104,1)</f>
        <v>23</v>
      </c>
      <c r="AD151" s="350">
        <f>MATCH(_xlfn.XLOOKUP(L151,[1]梦灵本体产出!$D$30:$D$38,[1]梦灵本体产出!$J$30:$J$38)*R151*10/[1]梦灵属性!$K$26,[1]梦灵属性!$K$56:$K$104,1)</f>
        <v>25</v>
      </c>
      <c r="AE151" s="350">
        <f>MATCH(_xlfn.XLOOKUP(M151,[1]梦灵本体产出!$D$30:$D$38,[1]梦灵本体产出!$J$30:$J$38)*S151*10/[1]梦灵属性!$K$26,[1]梦灵属性!$K$56:$K$104,1)</f>
        <v>28</v>
      </c>
      <c r="AF151" s="350">
        <f>MATCH(_xlfn.XLOOKUP(N151,[1]梦灵本体产出!$D$30:$D$38,[1]梦灵本体产出!$J$30:$J$38)*T151*10/[1]梦灵属性!$K$26,[1]梦灵属性!$K$56:$K$104,1)</f>
        <v>29</v>
      </c>
      <c r="AG151" s="351"/>
      <c r="AH151" s="266">
        <v>7</v>
      </c>
      <c r="AI151" s="350">
        <f>MATCH(_xlfn.XLOOKUP(K151,[1]梦灵本体产出!$D$30:$D$38,[1]梦灵本体产出!$K$30:$K$38)*Q151*10/[1]梦灵属性!$K$26,[1]梦灵属性!$K$56:$K$104,1)</f>
        <v>16</v>
      </c>
      <c r="AJ151" s="350">
        <f>MATCH(_xlfn.XLOOKUP(L151,[1]梦灵本体产出!$D$30:$D$38,[1]梦灵本体产出!$K$30:$K$38)*R151*10/[1]梦灵属性!$K$26,[1]梦灵属性!$K$56:$K$104,1)</f>
        <v>17</v>
      </c>
      <c r="AK151" s="350">
        <f>MATCH(_xlfn.XLOOKUP(M151,[1]梦灵本体产出!$D$30:$D$38,[1]梦灵本体产出!$K$30:$K$38)*S151*10/[1]梦灵属性!$K$26,[1]梦灵属性!$K$56:$K$104,1)</f>
        <v>20</v>
      </c>
      <c r="AL151" s="350">
        <f>MATCH(_xlfn.XLOOKUP(N151,[1]梦灵本体产出!$D$30:$D$38,[1]梦灵本体产出!$K$30:$K$38)*T151*10/[1]梦灵属性!$K$26,[1]梦灵属性!$K$56:$K$104,1)</f>
        <v>22</v>
      </c>
      <c r="AM151" s="351"/>
      <c r="AN151" s="266">
        <v>7</v>
      </c>
      <c r="AO151" s="350">
        <f>MATCH(_xlfn.XLOOKUP(K151,[1]梦灵本体产出!$D$30:$D$38,[1]梦灵本体产出!$L$30:$L$38)*Q151*10/[1]梦灵属性!$K$26,[1]梦灵属性!$K$56:$K$104,1)</f>
        <v>9</v>
      </c>
      <c r="AP151" s="350">
        <f>MATCH(_xlfn.XLOOKUP(L151,[1]梦灵本体产出!$D$30:$D$38,[1]梦灵本体产出!$L$30:$L$38)*R151*10/[1]梦灵属性!$K$26,[1]梦灵属性!$K$56:$K$104,1)</f>
        <v>10</v>
      </c>
      <c r="AQ151" s="350">
        <f>MATCH(_xlfn.XLOOKUP(M151,[1]梦灵本体产出!$D$30:$D$38,[1]梦灵本体产出!$L$30:$L$38)*S151*10/[1]梦灵属性!$K$26,[1]梦灵属性!$K$56:$K$104,1)</f>
        <v>12</v>
      </c>
      <c r="AR151" s="350">
        <f>MATCH(_xlfn.XLOOKUP(N151,[1]梦灵本体产出!$D$30:$D$38,[1]梦灵本体产出!$L$30:$L$38)*T151*10/[1]梦灵属性!$K$26,[1]梦灵属性!$K$56:$K$104,1)</f>
        <v>14</v>
      </c>
      <c r="AS151" s="351"/>
      <c r="AT151" s="266">
        <v>7</v>
      </c>
      <c r="AU151" s="352">
        <f>IFERROR(MATCH(_xlfn.XLOOKUP(K151,[1]梦灵本体产出!$D$30:$D$38,[1]梦灵本体产出!$M$30:$M$38)*Q151*10/[1]梦灵属性!$K$26,[1]梦灵属性!$K$56:$K$104,1),0)</f>
        <v>0</v>
      </c>
      <c r="AV151" s="350">
        <f>IFERROR(MATCH(_xlfn.XLOOKUP(L151,[1]梦灵本体产出!$D$30:$D$38,[1]梦灵本体产出!$M$30:$M$38)*R151*10/[1]梦灵属性!$K$26,[1]梦灵属性!$K$56:$K$104,1),0)</f>
        <v>0</v>
      </c>
      <c r="AW151" s="350">
        <f>IFERROR(MATCH(_xlfn.XLOOKUP(M151,[1]梦灵本体产出!$D$30:$D$38,[1]梦灵本体产出!$M$30:$M$38)*S151*10/[1]梦灵属性!$K$26,[1]梦灵属性!$K$56:$K$104,1),0)</f>
        <v>0</v>
      </c>
      <c r="AX151" s="350">
        <f>IFERROR(MATCH(_xlfn.XLOOKUP(N151,[1]梦灵本体产出!$D$30:$D$38,[1]梦灵本体产出!$M$30:$M$38)*T151*10/[1]梦灵属性!$K$26,[1]梦灵属性!$K$56:$K$104,1),0)</f>
        <v>0</v>
      </c>
      <c r="AZ151" s="80">
        <f t="shared" si="12"/>
        <v>409.8</v>
      </c>
    </row>
    <row r="152" outlineLevel="1" spans="3:52">
      <c r="C152" s="80" t="s">
        <v>442</v>
      </c>
      <c r="D152" s="19">
        <v>8</v>
      </c>
      <c r="E152" s="19" t="s">
        <v>439</v>
      </c>
      <c r="F152" s="19" t="s">
        <v>439</v>
      </c>
      <c r="G152" s="19" t="s">
        <v>441</v>
      </c>
      <c r="H152" s="19" t="s">
        <v>441</v>
      </c>
      <c r="J152" s="19">
        <v>8</v>
      </c>
      <c r="K152" s="19">
        <v>3</v>
      </c>
      <c r="L152" s="19">
        <v>3</v>
      </c>
      <c r="M152" s="19">
        <v>3</v>
      </c>
      <c r="N152" s="19">
        <v>3</v>
      </c>
      <c r="P152" s="19">
        <v>8</v>
      </c>
      <c r="Q152" s="266">
        <v>1595.17142857142</v>
      </c>
      <c r="R152" s="266">
        <v>1884.83809523809</v>
      </c>
      <c r="S152" s="266">
        <v>2655.88571428572</v>
      </c>
      <c r="T152" s="266">
        <v>3244.85714285714</v>
      </c>
      <c r="V152" s="19">
        <v>8</v>
      </c>
      <c r="W152" s="350">
        <f t="shared" si="8"/>
        <v>23100</v>
      </c>
      <c r="X152" s="350">
        <f t="shared" si="9"/>
        <v>30030</v>
      </c>
      <c r="Y152" s="350">
        <f t="shared" si="10"/>
        <v>48048</v>
      </c>
      <c r="Z152" s="350">
        <f t="shared" si="11"/>
        <v>63525</v>
      </c>
      <c r="AB152" s="19">
        <v>8</v>
      </c>
      <c r="AC152" s="350">
        <f>MATCH(_xlfn.XLOOKUP(K152,[1]梦灵本体产出!$D$30:$D$38,[1]梦灵本体产出!$J$30:$J$38)*Q152*10/[1]梦灵属性!$K$26,[1]梦灵属性!$K$56:$K$104,1)</f>
        <v>24</v>
      </c>
      <c r="AD152" s="350">
        <f>MATCH(_xlfn.XLOOKUP(L152,[1]梦灵本体产出!$D$30:$D$38,[1]梦灵本体产出!$J$30:$J$38)*R152*10/[1]梦灵属性!$K$26,[1]梦灵属性!$K$56:$K$104,1)</f>
        <v>25</v>
      </c>
      <c r="AE152" s="350">
        <f>MATCH(_xlfn.XLOOKUP(M152,[1]梦灵本体产出!$D$30:$D$38,[1]梦灵本体产出!$J$30:$J$38)*S152*10/[1]梦灵属性!$K$26,[1]梦灵属性!$K$56:$K$104,1)</f>
        <v>29</v>
      </c>
      <c r="AF152" s="350">
        <f>MATCH(_xlfn.XLOOKUP(N152,[1]梦灵本体产出!$D$30:$D$38,[1]梦灵本体产出!$J$30:$J$38)*T152*10/[1]梦灵属性!$K$26,[1]梦灵属性!$K$56:$K$104,1)</f>
        <v>30</v>
      </c>
      <c r="AG152" s="351"/>
      <c r="AH152" s="266">
        <v>8</v>
      </c>
      <c r="AI152" s="350">
        <f>MATCH(_xlfn.XLOOKUP(K152,[1]梦灵本体产出!$D$30:$D$38,[1]梦灵本体产出!$K$30:$K$38)*Q152*10/[1]梦灵属性!$K$26,[1]梦灵属性!$K$56:$K$104,1)</f>
        <v>16</v>
      </c>
      <c r="AJ152" s="350">
        <f>MATCH(_xlfn.XLOOKUP(L152,[1]梦灵本体产出!$D$30:$D$38,[1]梦灵本体产出!$K$30:$K$38)*R152*10/[1]梦灵属性!$K$26,[1]梦灵属性!$K$56:$K$104,1)</f>
        <v>18</v>
      </c>
      <c r="AK152" s="350">
        <f>MATCH(_xlfn.XLOOKUP(M152,[1]梦灵本体产出!$D$30:$D$38,[1]梦灵本体产出!$K$30:$K$38)*S152*10/[1]梦灵属性!$K$26,[1]梦灵属性!$K$56:$K$104,1)</f>
        <v>21</v>
      </c>
      <c r="AL152" s="350">
        <f>MATCH(_xlfn.XLOOKUP(N152,[1]梦灵本体产出!$D$30:$D$38,[1]梦灵本体产出!$K$30:$K$38)*T152*10/[1]梦灵属性!$K$26,[1]梦灵属性!$K$56:$K$104,1)</f>
        <v>23</v>
      </c>
      <c r="AM152" s="351"/>
      <c r="AN152" s="266">
        <v>8</v>
      </c>
      <c r="AO152" s="350">
        <f>MATCH(_xlfn.XLOOKUP(K152,[1]梦灵本体产出!$D$30:$D$38,[1]梦灵本体产出!$L$30:$L$38)*Q152*10/[1]梦灵属性!$K$26,[1]梦灵属性!$K$56:$K$104,1)</f>
        <v>10</v>
      </c>
      <c r="AP152" s="350">
        <f>MATCH(_xlfn.XLOOKUP(L152,[1]梦灵本体产出!$D$30:$D$38,[1]梦灵本体产出!$L$30:$L$38)*R152*10/[1]梦灵属性!$K$26,[1]梦灵属性!$K$56:$K$104,1)</f>
        <v>11</v>
      </c>
      <c r="AQ152" s="350">
        <f>MATCH(_xlfn.XLOOKUP(M152,[1]梦灵本体产出!$D$30:$D$38,[1]梦灵本体产出!$L$30:$L$38)*S152*10/[1]梦灵属性!$K$26,[1]梦灵属性!$K$56:$K$104,1)</f>
        <v>13</v>
      </c>
      <c r="AR152" s="350">
        <f>MATCH(_xlfn.XLOOKUP(N152,[1]梦灵本体产出!$D$30:$D$38,[1]梦灵本体产出!$L$30:$L$38)*T152*10/[1]梦灵属性!$K$26,[1]梦灵属性!$K$56:$K$104,1)</f>
        <v>14</v>
      </c>
      <c r="AS152" s="351"/>
      <c r="AT152" s="266">
        <v>8</v>
      </c>
      <c r="AU152" s="350">
        <f>IFERROR(MATCH(_xlfn.XLOOKUP(K152,[1]梦灵本体产出!$D$30:$D$38,[1]梦灵本体产出!$M$30:$M$38)*Q152*10/[1]梦灵属性!$K$26,[1]梦灵属性!$K$56:$K$104,1),0)</f>
        <v>0</v>
      </c>
      <c r="AV152" s="350">
        <f>IFERROR(MATCH(_xlfn.XLOOKUP(L152,[1]梦灵本体产出!$D$30:$D$38,[1]梦灵本体产出!$M$30:$M$38)*R152*10/[1]梦灵属性!$K$26,[1]梦灵属性!$K$56:$K$104,1),0)</f>
        <v>0</v>
      </c>
      <c r="AW152" s="350">
        <f>IFERROR(MATCH(_xlfn.XLOOKUP(M152,[1]梦灵本体产出!$D$30:$D$38,[1]梦灵本体产出!$M$30:$M$38)*S152*10/[1]梦灵属性!$K$26,[1]梦灵属性!$K$56:$K$104,1),0)</f>
        <v>0</v>
      </c>
      <c r="AX152" s="350">
        <f>IFERROR(MATCH(_xlfn.XLOOKUP(N152,[1]梦灵本体产出!$D$30:$D$38,[1]梦灵本体产出!$M$30:$M$38)*T152*10/[1]梦灵属性!$K$26,[1]梦灵属性!$K$56:$K$104,1),0)</f>
        <v>0</v>
      </c>
      <c r="AZ152" s="80">
        <f t="shared" si="12"/>
        <v>421.2</v>
      </c>
    </row>
    <row r="153" outlineLevel="1" spans="3:52">
      <c r="C153" s="80" t="s">
        <v>442</v>
      </c>
      <c r="D153" s="19">
        <v>9</v>
      </c>
      <c r="E153" s="19" t="s">
        <v>439</v>
      </c>
      <c r="F153" s="19" t="s">
        <v>439</v>
      </c>
      <c r="G153" s="19" t="s">
        <v>441</v>
      </c>
      <c r="H153" s="19" t="s">
        <v>443</v>
      </c>
      <c r="J153" s="19">
        <v>9</v>
      </c>
      <c r="K153" s="19">
        <v>3</v>
      </c>
      <c r="L153" s="19">
        <v>3</v>
      </c>
      <c r="M153" s="19">
        <v>3</v>
      </c>
      <c r="N153" s="19">
        <v>4</v>
      </c>
      <c r="P153" s="19">
        <v>9</v>
      </c>
      <c r="Q153" s="266">
        <v>1708.94285714285</v>
      </c>
      <c r="R153" s="266">
        <v>2027.94285714286</v>
      </c>
      <c r="S153" s="266">
        <v>2884.37142857143</v>
      </c>
      <c r="T153" s="266">
        <v>3546.96428571428</v>
      </c>
      <c r="V153" s="19">
        <v>9</v>
      </c>
      <c r="W153" s="350">
        <f t="shared" si="8"/>
        <v>23100</v>
      </c>
      <c r="X153" s="350">
        <f t="shared" si="9"/>
        <v>30030</v>
      </c>
      <c r="Y153" s="350">
        <f t="shared" si="10"/>
        <v>48048</v>
      </c>
      <c r="Z153" s="350">
        <f t="shared" si="11"/>
        <v>63525</v>
      </c>
      <c r="AB153" s="19">
        <v>9</v>
      </c>
      <c r="AC153" s="350">
        <f>MATCH(_xlfn.XLOOKUP(K153,[1]梦灵本体产出!$D$30:$D$38,[1]梦灵本体产出!$J$30:$J$38)*Q153*10/[1]梦灵属性!$K$26,[1]梦灵属性!$K$56:$K$104,1)</f>
        <v>24</v>
      </c>
      <c r="AD153" s="350">
        <f>MATCH(_xlfn.XLOOKUP(L153,[1]梦灵本体产出!$D$30:$D$38,[1]梦灵本体产出!$J$30:$J$38)*R153*10/[1]梦灵属性!$K$26,[1]梦灵属性!$K$56:$K$104,1)</f>
        <v>26</v>
      </c>
      <c r="AE153" s="350">
        <f>MATCH(_xlfn.XLOOKUP(M153,[1]梦灵本体产出!$D$30:$D$38,[1]梦灵本体产出!$J$30:$J$38)*S153*10/[1]梦灵属性!$K$26,[1]梦灵属性!$K$56:$K$104,1)</f>
        <v>29</v>
      </c>
      <c r="AF153" s="350">
        <f>MATCH(_xlfn.XLOOKUP(N153,[1]梦灵本体产出!$D$30:$D$38,[1]梦灵本体产出!$J$30:$J$38)*T153*10/[1]梦灵属性!$K$26,[1]梦灵属性!$K$56:$K$104,1)</f>
        <v>29</v>
      </c>
      <c r="AG153" s="351"/>
      <c r="AH153" s="266">
        <v>9</v>
      </c>
      <c r="AI153" s="350">
        <f>MATCH(_xlfn.XLOOKUP(K153,[1]梦灵本体产出!$D$30:$D$38,[1]梦灵本体产出!$K$30:$K$38)*Q153*10/[1]梦灵属性!$K$26,[1]梦灵属性!$K$56:$K$104,1)</f>
        <v>17</v>
      </c>
      <c r="AJ153" s="350">
        <f>MATCH(_xlfn.XLOOKUP(L153,[1]梦灵本体产出!$D$30:$D$38,[1]梦灵本体产出!$K$30:$K$38)*R153*10/[1]梦灵属性!$K$26,[1]梦灵属性!$K$56:$K$104,1)</f>
        <v>19</v>
      </c>
      <c r="AK153" s="350">
        <f>MATCH(_xlfn.XLOOKUP(M153,[1]梦灵本体产出!$D$30:$D$38,[1]梦灵本体产出!$K$30:$K$38)*S153*10/[1]梦灵属性!$K$26,[1]梦灵属性!$K$56:$K$104,1)</f>
        <v>22</v>
      </c>
      <c r="AL153" s="350">
        <f>MATCH(_xlfn.XLOOKUP(N153,[1]梦灵本体产出!$D$30:$D$38,[1]梦灵本体产出!$K$30:$K$38)*T153*10/[1]梦灵属性!$K$26,[1]梦灵属性!$K$56:$K$104,1)</f>
        <v>25</v>
      </c>
      <c r="AM153" s="351"/>
      <c r="AN153" s="266">
        <v>9</v>
      </c>
      <c r="AO153" s="350">
        <f>MATCH(_xlfn.XLOOKUP(K153,[1]梦灵本体产出!$D$30:$D$38,[1]梦灵本体产出!$L$30:$L$38)*Q153*10/[1]梦灵属性!$K$26,[1]梦灵属性!$K$56:$K$104,1)</f>
        <v>10</v>
      </c>
      <c r="AP153" s="350">
        <f>MATCH(_xlfn.XLOOKUP(L153,[1]梦灵本体产出!$D$30:$D$38,[1]梦灵本体产出!$L$30:$L$38)*R153*10/[1]梦灵属性!$K$26,[1]梦灵属性!$K$56:$K$104,1)</f>
        <v>11</v>
      </c>
      <c r="AQ153" s="350">
        <f>MATCH(_xlfn.XLOOKUP(M153,[1]梦灵本体产出!$D$30:$D$38,[1]梦灵本体产出!$L$30:$L$38)*S153*10/[1]梦灵属性!$K$26,[1]梦灵属性!$K$56:$K$104,1)</f>
        <v>13</v>
      </c>
      <c r="AR153" s="350">
        <f>MATCH(_xlfn.XLOOKUP(N153,[1]梦灵本体产出!$D$30:$D$38,[1]梦灵本体产出!$L$30:$L$38)*T153*10/[1]梦灵属性!$K$26,[1]梦灵属性!$K$56:$K$104,1)</f>
        <v>16</v>
      </c>
      <c r="AS153" s="351"/>
      <c r="AT153" s="266">
        <v>9</v>
      </c>
      <c r="AU153" s="350">
        <f>IFERROR(MATCH(_xlfn.XLOOKUP(K153,[1]梦灵本体产出!$D$30:$D$38,[1]梦灵本体产出!$M$30:$M$38)*Q153*10/[1]梦灵属性!$K$26,[1]梦灵属性!$K$56:$K$104,1),0)</f>
        <v>0</v>
      </c>
      <c r="AV153" s="350">
        <f>IFERROR(MATCH(_xlfn.XLOOKUP(L153,[1]梦灵本体产出!$D$30:$D$38,[1]梦灵本体产出!$M$30:$M$38)*R153*10/[1]梦灵属性!$K$26,[1]梦灵属性!$K$56:$K$104,1),0)</f>
        <v>0</v>
      </c>
      <c r="AW153" s="350">
        <f>IFERROR(MATCH(_xlfn.XLOOKUP(M153,[1]梦灵本体产出!$D$30:$D$38,[1]梦灵本体产出!$M$30:$M$38)*S153*10/[1]梦灵属性!$K$26,[1]梦灵属性!$K$56:$K$104,1),0)</f>
        <v>0</v>
      </c>
      <c r="AX153" s="350">
        <f>IFERROR(MATCH(_xlfn.XLOOKUP(N153,[1]梦灵本体产出!$D$30:$D$38,[1]梦灵本体产出!$M$30:$M$38)*T153*10/[1]梦灵属性!$K$26,[1]梦灵属性!$K$56:$K$104,1),0)</f>
        <v>8</v>
      </c>
      <c r="AZ153" s="80">
        <f t="shared" si="12"/>
        <v>428.4</v>
      </c>
    </row>
    <row r="154" outlineLevel="1" spans="3:52">
      <c r="C154" s="80" t="s">
        <v>442</v>
      </c>
      <c r="D154" s="19">
        <v>10</v>
      </c>
      <c r="E154" s="19" t="s">
        <v>439</v>
      </c>
      <c r="F154" s="19" t="s">
        <v>441</v>
      </c>
      <c r="G154" s="19" t="s">
        <v>441</v>
      </c>
      <c r="H154" s="19" t="s">
        <v>443</v>
      </c>
      <c r="J154" s="19">
        <v>10</v>
      </c>
      <c r="K154" s="19">
        <v>3</v>
      </c>
      <c r="L154" s="19">
        <v>3</v>
      </c>
      <c r="M154" s="19">
        <v>3</v>
      </c>
      <c r="N154" s="19">
        <v>4</v>
      </c>
      <c r="P154" s="19">
        <v>10</v>
      </c>
      <c r="Q154" s="266">
        <v>1822.71428571428</v>
      </c>
      <c r="R154" s="266">
        <v>2171.04761904762</v>
      </c>
      <c r="S154" s="266">
        <v>3112.85714285715</v>
      </c>
      <c r="T154" s="266">
        <v>3849.07142857143</v>
      </c>
      <c r="V154" s="19">
        <v>10</v>
      </c>
      <c r="W154" s="350">
        <f t="shared" si="8"/>
        <v>23100</v>
      </c>
      <c r="X154" s="350">
        <f t="shared" si="9"/>
        <v>30030</v>
      </c>
      <c r="Y154" s="350">
        <f t="shared" si="10"/>
        <v>48048</v>
      </c>
      <c r="Z154" s="350">
        <f t="shared" si="11"/>
        <v>63525</v>
      </c>
      <c r="AB154" s="19">
        <v>10</v>
      </c>
      <c r="AC154" s="350">
        <f>MATCH(_xlfn.XLOOKUP(K154,[1]梦灵本体产出!$D$30:$D$38,[1]梦灵本体产出!$J$30:$J$38)*Q154*10/[1]梦灵属性!$K$26,[1]梦灵属性!$K$56:$K$104,1)</f>
        <v>25</v>
      </c>
      <c r="AD154" s="350">
        <f>MATCH(_xlfn.XLOOKUP(L154,[1]梦灵本体产出!$D$30:$D$38,[1]梦灵本体产出!$J$30:$J$38)*R154*10/[1]梦灵属性!$K$26,[1]梦灵属性!$K$56:$K$104,1)</f>
        <v>26</v>
      </c>
      <c r="AE154" s="350">
        <f>MATCH(_xlfn.XLOOKUP(M154,[1]梦灵本体产出!$D$30:$D$38,[1]梦灵本体产出!$J$30:$J$38)*S154*10/[1]梦灵属性!$K$26,[1]梦灵属性!$K$56:$K$104,1)</f>
        <v>29</v>
      </c>
      <c r="AF154" s="350">
        <f>MATCH(_xlfn.XLOOKUP(N154,[1]梦灵本体产出!$D$30:$D$38,[1]梦灵本体产出!$J$30:$J$38)*T154*10/[1]梦灵属性!$K$26,[1]梦灵属性!$K$56:$K$104,1)</f>
        <v>30</v>
      </c>
      <c r="AG154" s="351"/>
      <c r="AH154" s="266">
        <v>10</v>
      </c>
      <c r="AI154" s="350">
        <f>MATCH(_xlfn.XLOOKUP(K154,[1]梦灵本体产出!$D$30:$D$38,[1]梦灵本体产出!$K$30:$K$38)*Q154*10/[1]梦灵属性!$K$26,[1]梦灵属性!$K$56:$K$104,1)</f>
        <v>18</v>
      </c>
      <c r="AJ154" s="350">
        <f>MATCH(_xlfn.XLOOKUP(L154,[1]梦灵本体产出!$D$30:$D$38,[1]梦灵本体产出!$K$30:$K$38)*R154*10/[1]梦灵属性!$K$26,[1]梦灵属性!$K$56:$K$104,1)</f>
        <v>19</v>
      </c>
      <c r="AK154" s="350">
        <f>MATCH(_xlfn.XLOOKUP(M154,[1]梦灵本体产出!$D$30:$D$38,[1]梦灵本体产出!$K$30:$K$38)*S154*10/[1]梦灵属性!$K$26,[1]梦灵属性!$K$56:$K$104,1)</f>
        <v>23</v>
      </c>
      <c r="AL154" s="350">
        <f>MATCH(_xlfn.XLOOKUP(N154,[1]梦灵本体产出!$D$30:$D$38,[1]梦灵本体产出!$K$30:$K$38)*T154*10/[1]梦灵属性!$K$26,[1]梦灵属性!$K$56:$K$104,1)</f>
        <v>26</v>
      </c>
      <c r="AM154" s="351"/>
      <c r="AN154" s="266">
        <v>10</v>
      </c>
      <c r="AO154" s="350">
        <f>MATCH(_xlfn.XLOOKUP(K154,[1]梦灵本体产出!$D$30:$D$38,[1]梦灵本体产出!$L$30:$L$38)*Q154*10/[1]梦灵属性!$K$26,[1]梦灵属性!$K$56:$K$104,1)</f>
        <v>10</v>
      </c>
      <c r="AP154" s="350">
        <f>MATCH(_xlfn.XLOOKUP(L154,[1]梦灵本体产出!$D$30:$D$38,[1]梦灵本体产出!$L$30:$L$38)*R154*10/[1]梦灵属性!$K$26,[1]梦灵属性!$K$56:$K$104,1)</f>
        <v>11</v>
      </c>
      <c r="AQ154" s="350">
        <f>MATCH(_xlfn.XLOOKUP(M154,[1]梦灵本体产出!$D$30:$D$38,[1]梦灵本体产出!$L$30:$L$38)*S154*10/[1]梦灵属性!$K$26,[1]梦灵属性!$K$56:$K$104,1)</f>
        <v>14</v>
      </c>
      <c r="AR154" s="350">
        <f>MATCH(_xlfn.XLOOKUP(N154,[1]梦灵本体产出!$D$30:$D$38,[1]梦灵本体产出!$L$30:$L$38)*T154*10/[1]梦灵属性!$K$26,[1]梦灵属性!$K$56:$K$104,1)</f>
        <v>17</v>
      </c>
      <c r="AS154" s="351"/>
      <c r="AT154" s="266">
        <v>10</v>
      </c>
      <c r="AU154" s="350">
        <f>IFERROR(MATCH(_xlfn.XLOOKUP(K154,[1]梦灵本体产出!$D$30:$D$38,[1]梦灵本体产出!$M$30:$M$38)*Q154*10/[1]梦灵属性!$K$26,[1]梦灵属性!$K$56:$K$104,1),0)</f>
        <v>0</v>
      </c>
      <c r="AV154" s="350">
        <f>IFERROR(MATCH(_xlfn.XLOOKUP(L154,[1]梦灵本体产出!$D$30:$D$38,[1]梦灵本体产出!$M$30:$M$38)*R154*10/[1]梦灵属性!$K$26,[1]梦灵属性!$K$56:$K$104,1),0)</f>
        <v>0</v>
      </c>
      <c r="AW154" s="350">
        <f>IFERROR(MATCH(_xlfn.XLOOKUP(M154,[1]梦灵本体产出!$D$30:$D$38,[1]梦灵本体产出!$M$30:$M$38)*S154*10/[1]梦灵属性!$K$26,[1]梦灵属性!$K$56:$K$104,1),0)</f>
        <v>0</v>
      </c>
      <c r="AX154" s="350">
        <f>IFERROR(MATCH(_xlfn.XLOOKUP(N154,[1]梦灵本体产出!$D$30:$D$38,[1]梦灵本体产出!$M$30:$M$38)*T154*10/[1]梦灵属性!$K$26,[1]梦灵属性!$K$56:$K$104,1),0)</f>
        <v>9</v>
      </c>
      <c r="AZ154" s="80">
        <f t="shared" si="12"/>
        <v>438.6</v>
      </c>
    </row>
    <row r="155" outlineLevel="1" spans="3:52">
      <c r="C155" s="80" t="s">
        <v>442</v>
      </c>
      <c r="D155" s="19">
        <v>11</v>
      </c>
      <c r="E155" s="19" t="s">
        <v>439</v>
      </c>
      <c r="F155" s="19" t="s">
        <v>441</v>
      </c>
      <c r="G155" s="19" t="s">
        <v>443</v>
      </c>
      <c r="H155" s="19" t="s">
        <v>443</v>
      </c>
      <c r="J155" s="19">
        <v>11</v>
      </c>
      <c r="K155" s="19">
        <v>3</v>
      </c>
      <c r="L155" s="19">
        <v>3</v>
      </c>
      <c r="M155" s="19">
        <v>4</v>
      </c>
      <c r="N155" s="19">
        <v>4</v>
      </c>
      <c r="P155" s="19">
        <v>11</v>
      </c>
      <c r="Q155" s="266">
        <v>1936.48571428571</v>
      </c>
      <c r="R155" s="266">
        <v>2314.15238095238</v>
      </c>
      <c r="S155" s="266">
        <v>3341.34285714286</v>
      </c>
      <c r="T155" s="266">
        <v>4151.17857142857</v>
      </c>
      <c r="V155" s="19">
        <v>11</v>
      </c>
      <c r="W155" s="350">
        <f t="shared" si="8"/>
        <v>23100</v>
      </c>
      <c r="X155" s="350">
        <f t="shared" si="9"/>
        <v>30030</v>
      </c>
      <c r="Y155" s="350">
        <f t="shared" si="10"/>
        <v>48048</v>
      </c>
      <c r="Z155" s="350">
        <f t="shared" si="11"/>
        <v>63525</v>
      </c>
      <c r="AB155" s="19">
        <v>11</v>
      </c>
      <c r="AC155" s="350">
        <f>MATCH(_xlfn.XLOOKUP(K155,[1]梦灵本体产出!$D$30:$D$38,[1]梦灵本体产出!$J$30:$J$38)*Q155*10/[1]梦灵属性!$K$26,[1]梦灵属性!$K$56:$K$104,1)</f>
        <v>25</v>
      </c>
      <c r="AD155" s="350">
        <f>MATCH(_xlfn.XLOOKUP(L155,[1]梦灵本体产出!$D$30:$D$38,[1]梦灵本体产出!$J$30:$J$38)*R155*10/[1]梦灵属性!$K$26,[1]梦灵属性!$K$56:$K$104,1)</f>
        <v>27</v>
      </c>
      <c r="AE155" s="350">
        <f>MATCH(_xlfn.XLOOKUP(M155,[1]梦灵本体产出!$D$30:$D$38,[1]梦灵本体产出!$J$30:$J$38)*S155*10/[1]梦灵属性!$K$26,[1]梦灵属性!$K$56:$K$104,1)</f>
        <v>29</v>
      </c>
      <c r="AF155" s="350">
        <f>MATCH(_xlfn.XLOOKUP(N155,[1]梦灵本体产出!$D$30:$D$38,[1]梦灵本体产出!$J$30:$J$38)*T155*10/[1]梦灵属性!$K$26,[1]梦灵属性!$K$56:$K$104,1)</f>
        <v>30</v>
      </c>
      <c r="AG155" s="351"/>
      <c r="AH155" s="266">
        <v>11</v>
      </c>
      <c r="AI155" s="350">
        <f>MATCH(_xlfn.XLOOKUP(K155,[1]梦灵本体产出!$D$30:$D$38,[1]梦灵本体产出!$K$30:$K$38)*Q155*10/[1]梦灵属性!$K$26,[1]梦灵属性!$K$56:$K$104,1)</f>
        <v>18</v>
      </c>
      <c r="AJ155" s="350">
        <f>MATCH(_xlfn.XLOOKUP(L155,[1]梦灵本体产出!$D$30:$D$38,[1]梦灵本体产出!$K$30:$K$38)*R155*10/[1]梦灵属性!$K$26,[1]梦灵属性!$K$56:$K$104,1)</f>
        <v>20</v>
      </c>
      <c r="AK155" s="350">
        <f>MATCH(_xlfn.XLOOKUP(M155,[1]梦灵本体产出!$D$30:$D$38,[1]梦灵本体产出!$K$30:$K$38)*S155*10/[1]梦灵属性!$K$26,[1]梦灵属性!$K$56:$K$104,1)</f>
        <v>25</v>
      </c>
      <c r="AL155" s="350">
        <f>MATCH(_xlfn.XLOOKUP(N155,[1]梦灵本体产出!$D$30:$D$38,[1]梦灵本体产出!$K$30:$K$38)*T155*10/[1]梦灵属性!$K$26,[1]梦灵属性!$K$56:$K$104,1)</f>
        <v>26</v>
      </c>
      <c r="AM155" s="351"/>
      <c r="AN155" s="266">
        <v>11</v>
      </c>
      <c r="AO155" s="350">
        <f>MATCH(_xlfn.XLOOKUP(K155,[1]梦灵本体产出!$D$30:$D$38,[1]梦灵本体产出!$L$30:$L$38)*Q155*10/[1]梦灵属性!$K$26,[1]梦灵属性!$K$56:$K$104,1)</f>
        <v>11</v>
      </c>
      <c r="AP155" s="350">
        <f>MATCH(_xlfn.XLOOKUP(L155,[1]梦灵本体产出!$D$30:$D$38,[1]梦灵本体产出!$L$30:$L$38)*R155*10/[1]梦灵属性!$K$26,[1]梦灵属性!$K$56:$K$104,1)</f>
        <v>12</v>
      </c>
      <c r="AQ155" s="350">
        <f>MATCH(_xlfn.XLOOKUP(M155,[1]梦灵本体产出!$D$30:$D$38,[1]梦灵本体产出!$L$30:$L$38)*S155*10/[1]梦灵属性!$K$26,[1]梦灵属性!$K$56:$K$104,1)</f>
        <v>15</v>
      </c>
      <c r="AR155" s="350">
        <f>MATCH(_xlfn.XLOOKUP(N155,[1]梦灵本体产出!$D$30:$D$38,[1]梦灵本体产出!$L$30:$L$38)*T155*10/[1]梦灵属性!$K$26,[1]梦灵属性!$K$56:$K$104,1)</f>
        <v>17</v>
      </c>
      <c r="AS155" s="351"/>
      <c r="AT155" s="266">
        <v>11</v>
      </c>
      <c r="AU155" s="350">
        <f>IFERROR(MATCH(_xlfn.XLOOKUP(K155,[1]梦灵本体产出!$D$30:$D$38,[1]梦灵本体产出!$M$30:$M$38)*Q155*10/[1]梦灵属性!$K$26,[1]梦灵属性!$K$56:$K$104,1),0)</f>
        <v>0</v>
      </c>
      <c r="AV155" s="350">
        <f>IFERROR(MATCH(_xlfn.XLOOKUP(L155,[1]梦灵本体产出!$D$30:$D$38,[1]梦灵本体产出!$M$30:$M$38)*R155*10/[1]梦灵属性!$K$26,[1]梦灵属性!$K$56:$K$104,1),0)</f>
        <v>0</v>
      </c>
      <c r="AW155" s="350">
        <f>IFERROR(MATCH(_xlfn.XLOOKUP(M155,[1]梦灵本体产出!$D$30:$D$38,[1]梦灵本体产出!$M$30:$M$38)*S155*10/[1]梦灵属性!$K$26,[1]梦灵属性!$K$56:$K$104,1),0)</f>
        <v>8</v>
      </c>
      <c r="AX155" s="350">
        <f>IFERROR(MATCH(_xlfn.XLOOKUP(N155,[1]梦灵本体产出!$D$30:$D$38,[1]梦灵本体产出!$M$30:$M$38)*T155*10/[1]梦灵属性!$K$26,[1]梦灵属性!$K$56:$K$104,1),0)</f>
        <v>9</v>
      </c>
      <c r="AZ155" s="80">
        <f t="shared" si="12"/>
        <v>447</v>
      </c>
    </row>
    <row r="156" outlineLevel="1" spans="3:52">
      <c r="C156" s="80" t="s">
        <v>444</v>
      </c>
      <c r="D156" s="19">
        <v>12</v>
      </c>
      <c r="E156" s="19" t="s">
        <v>441</v>
      </c>
      <c r="F156" s="19" t="s">
        <v>441</v>
      </c>
      <c r="G156" s="19" t="s">
        <v>443</v>
      </c>
      <c r="H156" s="19" t="s">
        <v>445</v>
      </c>
      <c r="J156" s="19">
        <v>12</v>
      </c>
      <c r="K156" s="19">
        <v>3</v>
      </c>
      <c r="L156" s="19">
        <v>3</v>
      </c>
      <c r="M156" s="19">
        <v>4</v>
      </c>
      <c r="N156" s="19">
        <v>4</v>
      </c>
      <c r="P156" s="19">
        <v>12</v>
      </c>
      <c r="Q156" s="266">
        <v>2050.25714285714</v>
      </c>
      <c r="R156" s="266">
        <v>2457.25714285714</v>
      </c>
      <c r="S156" s="266">
        <v>3569.82857142858</v>
      </c>
      <c r="T156" s="266">
        <v>4453.28571428571</v>
      </c>
      <c r="V156" s="19">
        <v>12</v>
      </c>
      <c r="W156" s="350">
        <f t="shared" ref="W156:W165" si="13">100*30*1.1*7</f>
        <v>23100</v>
      </c>
      <c r="X156" s="350">
        <f t="shared" ref="X156:X165" si="14">130*1.1*30*7</f>
        <v>30030</v>
      </c>
      <c r="Y156" s="350">
        <f t="shared" ref="Y156:Y165" si="15">208*1.1*30*7</f>
        <v>48048</v>
      </c>
      <c r="Z156" s="350">
        <f t="shared" ref="Z156:Z165" si="16">275*1.1*30*7</f>
        <v>63525</v>
      </c>
      <c r="AB156" s="19">
        <v>12</v>
      </c>
      <c r="AC156" s="350">
        <f>MATCH(_xlfn.XLOOKUP(K156,[1]梦灵本体产出!$D$30:$D$38,[1]梦灵本体产出!$J$30:$J$38)*Q156*10/[1]梦灵属性!$K$26,[1]梦灵属性!$K$56:$K$104,1)</f>
        <v>26</v>
      </c>
      <c r="AD156" s="350">
        <f>MATCH(_xlfn.XLOOKUP(L156,[1]梦灵本体产出!$D$30:$D$38,[1]梦灵本体产出!$J$30:$J$38)*R156*10/[1]梦灵属性!$K$26,[1]梦灵属性!$K$56:$K$104,1)</f>
        <v>28</v>
      </c>
      <c r="AE156" s="350">
        <f>MATCH(_xlfn.XLOOKUP(M156,[1]梦灵本体产出!$D$30:$D$38,[1]梦灵本体产出!$J$30:$J$38)*S156*10/[1]梦灵属性!$K$26,[1]梦灵属性!$K$56:$K$104,1)</f>
        <v>29</v>
      </c>
      <c r="AF156" s="350">
        <f>MATCH(_xlfn.XLOOKUP(N156,[1]梦灵本体产出!$D$30:$D$38,[1]梦灵本体产出!$J$30:$J$38)*T156*10/[1]梦灵属性!$K$26,[1]梦灵属性!$K$56:$K$104,1)</f>
        <v>31</v>
      </c>
      <c r="AG156" s="351"/>
      <c r="AH156" s="266">
        <v>12</v>
      </c>
      <c r="AI156" s="350">
        <f>MATCH(_xlfn.XLOOKUP(K156,[1]梦灵本体产出!$D$30:$D$38,[1]梦灵本体产出!$K$30:$K$38)*Q156*10/[1]梦灵属性!$K$26,[1]梦灵属性!$K$56:$K$104,1)</f>
        <v>19</v>
      </c>
      <c r="AJ156" s="350">
        <f>MATCH(_xlfn.XLOOKUP(L156,[1]梦灵本体产出!$D$30:$D$38,[1]梦灵本体产出!$K$30:$K$38)*R156*10/[1]梦灵属性!$K$26,[1]梦灵属性!$K$56:$K$104,1)</f>
        <v>20</v>
      </c>
      <c r="AK156" s="350">
        <f>MATCH(_xlfn.XLOOKUP(M156,[1]梦灵本体产出!$D$30:$D$38,[1]梦灵本体产出!$K$30:$K$38)*S156*10/[1]梦灵属性!$K$26,[1]梦灵属性!$K$56:$K$104,1)</f>
        <v>25</v>
      </c>
      <c r="AL156" s="350">
        <f>MATCH(_xlfn.XLOOKUP(N156,[1]梦灵本体产出!$D$30:$D$38,[1]梦灵本体产出!$K$30:$K$38)*T156*10/[1]梦灵属性!$K$26,[1]梦灵属性!$K$56:$K$104,1)</f>
        <v>27</v>
      </c>
      <c r="AM156" s="351"/>
      <c r="AN156" s="266">
        <v>12</v>
      </c>
      <c r="AO156" s="350">
        <f>MATCH(_xlfn.XLOOKUP(K156,[1]梦灵本体产出!$D$30:$D$38,[1]梦灵本体产出!$L$30:$L$38)*Q156*10/[1]梦灵属性!$K$26,[1]梦灵属性!$K$56:$K$104,1)</f>
        <v>11</v>
      </c>
      <c r="AP156" s="350">
        <f>MATCH(_xlfn.XLOOKUP(L156,[1]梦灵本体产出!$D$30:$D$38,[1]梦灵本体产出!$L$30:$L$38)*R156*10/[1]梦灵属性!$K$26,[1]梦灵属性!$K$56:$K$104,1)</f>
        <v>12</v>
      </c>
      <c r="AQ156" s="350">
        <f>MATCH(_xlfn.XLOOKUP(M156,[1]梦灵本体产出!$D$30:$D$38,[1]梦灵本体产出!$L$30:$L$38)*S156*10/[1]梦灵属性!$K$26,[1]梦灵属性!$K$56:$K$104,1)</f>
        <v>16</v>
      </c>
      <c r="AR156" s="350">
        <f>MATCH(_xlfn.XLOOKUP(N156,[1]梦灵本体产出!$D$30:$D$38,[1]梦灵本体产出!$L$30:$L$38)*T156*10/[1]梦灵属性!$K$26,[1]梦灵属性!$K$56:$K$104,1)</f>
        <v>18</v>
      </c>
      <c r="AS156" s="351"/>
      <c r="AT156" s="266">
        <v>12</v>
      </c>
      <c r="AU156" s="350">
        <f>IFERROR(MATCH(_xlfn.XLOOKUP(K156,[1]梦灵本体产出!$D$30:$D$38,[1]梦灵本体产出!$M$30:$M$38)*Q156*10/[1]梦灵属性!$K$26,[1]梦灵属性!$K$56:$K$104,1),0)</f>
        <v>0</v>
      </c>
      <c r="AV156" s="350">
        <f>IFERROR(MATCH(_xlfn.XLOOKUP(L156,[1]梦灵本体产出!$D$30:$D$38,[1]梦灵本体产出!$M$30:$M$38)*R156*10/[1]梦灵属性!$K$26,[1]梦灵属性!$K$56:$K$104,1),0)</f>
        <v>0</v>
      </c>
      <c r="AW156" s="350">
        <f>IFERROR(MATCH(_xlfn.XLOOKUP(M156,[1]梦灵本体产出!$D$30:$D$38,[1]梦灵本体产出!$M$30:$M$38)*S156*10/[1]梦灵属性!$K$26,[1]梦灵属性!$K$56:$K$104,1),0)</f>
        <v>8</v>
      </c>
      <c r="AX156" s="350">
        <f>IFERROR(MATCH(_xlfn.XLOOKUP(N156,[1]梦灵本体产出!$D$30:$D$38,[1]梦灵本体产出!$M$30:$M$38)*T156*10/[1]梦灵属性!$K$26,[1]梦灵属性!$K$56:$K$104,1),0)</f>
        <v>9</v>
      </c>
      <c r="AZ156" s="80">
        <f t="shared" si="12"/>
        <v>457.2</v>
      </c>
    </row>
    <row r="157" outlineLevel="1" spans="3:52">
      <c r="C157" s="80" t="s">
        <v>444</v>
      </c>
      <c r="D157" s="19">
        <v>13</v>
      </c>
      <c r="E157" s="19" t="s">
        <v>441</v>
      </c>
      <c r="F157" s="19" t="s">
        <v>441</v>
      </c>
      <c r="G157" s="19" t="s">
        <v>443</v>
      </c>
      <c r="H157" s="19" t="s">
        <v>445</v>
      </c>
      <c r="J157" s="19">
        <v>13</v>
      </c>
      <c r="K157" s="19">
        <v>3</v>
      </c>
      <c r="L157" s="19">
        <v>3</v>
      </c>
      <c r="M157" s="19">
        <v>4</v>
      </c>
      <c r="N157" s="19">
        <v>4</v>
      </c>
      <c r="P157" s="19">
        <v>13</v>
      </c>
      <c r="Q157" s="266">
        <v>2164.02857142857</v>
      </c>
      <c r="R157" s="266">
        <v>2600.3619047619</v>
      </c>
      <c r="S157" s="266">
        <v>3798.31428571429</v>
      </c>
      <c r="T157" s="266">
        <v>4755.39285714286</v>
      </c>
      <c r="V157" s="19">
        <v>13</v>
      </c>
      <c r="W157" s="350">
        <f t="shared" si="13"/>
        <v>23100</v>
      </c>
      <c r="X157" s="350">
        <f t="shared" si="14"/>
        <v>30030</v>
      </c>
      <c r="Y157" s="350">
        <f t="shared" si="15"/>
        <v>48048</v>
      </c>
      <c r="Z157" s="350">
        <f t="shared" si="16"/>
        <v>63525</v>
      </c>
      <c r="AB157" s="19">
        <v>13</v>
      </c>
      <c r="AC157" s="350">
        <f>MATCH(_xlfn.XLOOKUP(K157,[1]梦灵本体产出!$D$30:$D$38,[1]梦灵本体产出!$J$30:$J$38)*Q157*10/[1]梦灵属性!$K$26,[1]梦灵属性!$K$56:$K$104,1)</f>
        <v>26</v>
      </c>
      <c r="AD157" s="350">
        <f>MATCH(_xlfn.XLOOKUP(L157,[1]梦灵本体产出!$D$30:$D$38,[1]梦灵本体产出!$J$30:$J$38)*R157*10/[1]梦灵属性!$K$26,[1]梦灵属性!$K$56:$K$104,1)</f>
        <v>28</v>
      </c>
      <c r="AE157" s="350">
        <f>MATCH(_xlfn.XLOOKUP(M157,[1]梦灵本体产出!$D$30:$D$38,[1]梦灵本体产出!$J$30:$J$38)*S157*10/[1]梦灵属性!$K$26,[1]梦灵属性!$K$56:$K$104,1)</f>
        <v>30</v>
      </c>
      <c r="AF157" s="350">
        <f>MATCH(_xlfn.XLOOKUP(N157,[1]梦灵本体产出!$D$30:$D$38,[1]梦灵本体产出!$J$30:$J$38)*T157*10/[1]梦灵属性!$K$26,[1]梦灵属性!$K$56:$K$104,1)</f>
        <v>32</v>
      </c>
      <c r="AG157" s="351"/>
      <c r="AH157" s="266">
        <v>13</v>
      </c>
      <c r="AI157" s="350">
        <f>MATCH(_xlfn.XLOOKUP(K157,[1]梦灵本体产出!$D$30:$D$38,[1]梦灵本体产出!$K$30:$K$38)*Q157*10/[1]梦灵属性!$K$26,[1]梦灵属性!$K$56:$K$104,1)</f>
        <v>19</v>
      </c>
      <c r="AJ157" s="350">
        <f>MATCH(_xlfn.XLOOKUP(L157,[1]梦灵本体产出!$D$30:$D$38,[1]梦灵本体产出!$K$30:$K$38)*R157*10/[1]梦灵属性!$K$26,[1]梦灵属性!$K$56:$K$104,1)</f>
        <v>21</v>
      </c>
      <c r="AK157" s="350">
        <f>MATCH(_xlfn.XLOOKUP(M157,[1]梦灵本体产出!$D$30:$D$38,[1]梦灵本体产出!$K$30:$K$38)*S157*10/[1]梦灵属性!$K$26,[1]梦灵属性!$K$56:$K$104,1)</f>
        <v>26</v>
      </c>
      <c r="AL157" s="350">
        <f>MATCH(_xlfn.XLOOKUP(N157,[1]梦灵本体产出!$D$30:$D$38,[1]梦灵本体产出!$K$30:$K$38)*T157*10/[1]梦灵属性!$K$26,[1]梦灵属性!$K$56:$K$104,1)</f>
        <v>28</v>
      </c>
      <c r="AM157" s="351"/>
      <c r="AN157" s="266">
        <v>13</v>
      </c>
      <c r="AO157" s="350">
        <f>MATCH(_xlfn.XLOOKUP(K157,[1]梦灵本体产出!$D$30:$D$38,[1]梦灵本体产出!$L$30:$L$38)*Q157*10/[1]梦灵属性!$K$26,[1]梦灵属性!$K$56:$K$104,1)</f>
        <v>11</v>
      </c>
      <c r="AP157" s="350">
        <f>MATCH(_xlfn.XLOOKUP(L157,[1]梦灵本体产出!$D$30:$D$38,[1]梦灵本体产出!$L$30:$L$38)*R157*10/[1]梦灵属性!$K$26,[1]梦灵属性!$K$56:$K$104,1)</f>
        <v>13</v>
      </c>
      <c r="AQ157" s="350">
        <f>MATCH(_xlfn.XLOOKUP(M157,[1]梦灵本体产出!$D$30:$D$38,[1]梦灵本体产出!$L$30:$L$38)*S157*10/[1]梦灵属性!$K$26,[1]梦灵属性!$K$56:$K$104,1)</f>
        <v>16</v>
      </c>
      <c r="AR157" s="350">
        <f>MATCH(_xlfn.XLOOKUP(N157,[1]梦灵本体产出!$D$30:$D$38,[1]梦灵本体产出!$L$30:$L$38)*T157*10/[1]梦灵属性!$K$26,[1]梦灵属性!$K$56:$K$104,1)</f>
        <v>19</v>
      </c>
      <c r="AS157" s="351"/>
      <c r="AT157" s="266">
        <v>13</v>
      </c>
      <c r="AU157" s="350">
        <f>IFERROR(MATCH(_xlfn.XLOOKUP(K157,[1]梦灵本体产出!$D$30:$D$38,[1]梦灵本体产出!$M$30:$M$38)*Q157*10/[1]梦灵属性!$K$26,[1]梦灵属性!$K$56:$K$104,1),0)</f>
        <v>0</v>
      </c>
      <c r="AV157" s="350">
        <f>IFERROR(MATCH(_xlfn.XLOOKUP(L157,[1]梦灵本体产出!$D$30:$D$38,[1]梦灵本体产出!$M$30:$M$38)*R157*10/[1]梦灵属性!$K$26,[1]梦灵属性!$K$56:$K$104,1),0)</f>
        <v>0</v>
      </c>
      <c r="AW157" s="350">
        <f>IFERROR(MATCH(_xlfn.XLOOKUP(M157,[1]梦灵本体产出!$D$30:$D$38,[1]梦灵本体产出!$M$30:$M$38)*S157*10/[1]梦灵属性!$K$26,[1]梦灵属性!$K$56:$K$104,1),0)</f>
        <v>9</v>
      </c>
      <c r="AX157" s="350">
        <f>IFERROR(MATCH(_xlfn.XLOOKUP(N157,[1]梦灵本体产出!$D$30:$D$38,[1]梦灵本体产出!$M$30:$M$38)*T157*10/[1]梦灵属性!$K$26,[1]梦灵属性!$K$56:$K$104,1),0)</f>
        <v>10</v>
      </c>
      <c r="AZ157" s="80">
        <f t="shared" si="12"/>
        <v>457.2</v>
      </c>
    </row>
    <row r="158" outlineLevel="1" spans="3:52">
      <c r="C158" s="80" t="s">
        <v>444</v>
      </c>
      <c r="D158" s="19">
        <v>14</v>
      </c>
      <c r="E158" s="19" t="s">
        <v>441</v>
      </c>
      <c r="F158" s="19" t="s">
        <v>441</v>
      </c>
      <c r="G158" s="19" t="s">
        <v>443</v>
      </c>
      <c r="H158" s="19" t="s">
        <v>446</v>
      </c>
      <c r="J158" s="19">
        <v>14</v>
      </c>
      <c r="K158" s="19">
        <v>3</v>
      </c>
      <c r="L158" s="19">
        <v>3</v>
      </c>
      <c r="M158" s="19">
        <v>4</v>
      </c>
      <c r="N158" s="19">
        <v>4</v>
      </c>
      <c r="P158" s="19">
        <v>14</v>
      </c>
      <c r="Q158" s="266">
        <v>2277.79999999999</v>
      </c>
      <c r="R158" s="266">
        <v>2743.46666666667</v>
      </c>
      <c r="S158" s="266">
        <v>4026.8</v>
      </c>
      <c r="T158" s="266">
        <v>5057.5</v>
      </c>
      <c r="V158" s="19">
        <v>14</v>
      </c>
      <c r="W158" s="350">
        <f t="shared" si="13"/>
        <v>23100</v>
      </c>
      <c r="X158" s="350">
        <f t="shared" si="14"/>
        <v>30030</v>
      </c>
      <c r="Y158" s="350">
        <f t="shared" si="15"/>
        <v>48048</v>
      </c>
      <c r="Z158" s="350">
        <f t="shared" si="16"/>
        <v>63525</v>
      </c>
      <c r="AB158" s="19">
        <v>14</v>
      </c>
      <c r="AC158" s="350">
        <f>MATCH(_xlfn.XLOOKUP(K158,[1]梦灵本体产出!$D$30:$D$38,[1]梦灵本体产出!$J$30:$J$38)*Q158*10/[1]梦灵属性!$K$26,[1]梦灵属性!$K$56:$K$104,1)</f>
        <v>27</v>
      </c>
      <c r="AD158" s="350">
        <f>MATCH(_xlfn.XLOOKUP(L158,[1]梦灵本体产出!$D$30:$D$38,[1]梦灵本体产出!$J$30:$J$38)*R158*10/[1]梦灵属性!$K$26,[1]梦灵属性!$K$56:$K$104,1)</f>
        <v>29</v>
      </c>
      <c r="AE158" s="350">
        <f>MATCH(_xlfn.XLOOKUP(M158,[1]梦灵本体产出!$D$30:$D$38,[1]梦灵本体产出!$J$30:$J$38)*S158*10/[1]梦灵属性!$K$26,[1]梦灵属性!$K$56:$K$104,1)</f>
        <v>30</v>
      </c>
      <c r="AF158" s="350">
        <f>MATCH(_xlfn.XLOOKUP(N158,[1]梦灵本体产出!$D$30:$D$38,[1]梦灵本体产出!$J$30:$J$38)*T158*10/[1]梦灵属性!$K$26,[1]梦灵属性!$K$56:$K$104,1)</f>
        <v>32</v>
      </c>
      <c r="AG158" s="351"/>
      <c r="AH158" s="266">
        <v>14</v>
      </c>
      <c r="AI158" s="350">
        <f>MATCH(_xlfn.XLOOKUP(K158,[1]梦灵本体产出!$D$30:$D$38,[1]梦灵本体产出!$K$30:$K$38)*Q158*10/[1]梦灵属性!$K$26,[1]梦灵属性!$K$56:$K$104,1)</f>
        <v>20</v>
      </c>
      <c r="AJ158" s="350">
        <f>MATCH(_xlfn.XLOOKUP(L158,[1]梦灵本体产出!$D$30:$D$38,[1]梦灵本体产出!$K$30:$K$38)*R158*10/[1]梦灵属性!$K$26,[1]梦灵属性!$K$56:$K$104,1)</f>
        <v>21</v>
      </c>
      <c r="AK158" s="350">
        <f>MATCH(_xlfn.XLOOKUP(M158,[1]梦灵本体产出!$D$30:$D$38,[1]梦灵本体产出!$K$30:$K$38)*S158*10/[1]梦灵属性!$K$26,[1]梦灵属性!$K$56:$K$104,1)</f>
        <v>26</v>
      </c>
      <c r="AL158" s="350">
        <f>MATCH(_xlfn.XLOOKUP(N158,[1]梦灵本体产出!$D$30:$D$38,[1]梦灵本体产出!$K$30:$K$38)*T158*10/[1]梦灵属性!$K$26,[1]梦灵属性!$K$56:$K$104,1)</f>
        <v>28</v>
      </c>
      <c r="AM158" s="351"/>
      <c r="AN158" s="266">
        <v>14</v>
      </c>
      <c r="AO158" s="350">
        <f>MATCH(_xlfn.XLOOKUP(K158,[1]梦灵本体产出!$D$30:$D$38,[1]梦灵本体产出!$L$30:$L$38)*Q158*10/[1]梦灵属性!$K$26,[1]梦灵属性!$K$56:$K$104,1)</f>
        <v>12</v>
      </c>
      <c r="AP158" s="350">
        <f>MATCH(_xlfn.XLOOKUP(L158,[1]梦灵本体产出!$D$30:$D$38,[1]梦灵本体产出!$L$30:$L$38)*R158*10/[1]梦灵属性!$K$26,[1]梦灵属性!$K$56:$K$104,1)</f>
        <v>13</v>
      </c>
      <c r="AQ158" s="350">
        <f>MATCH(_xlfn.XLOOKUP(M158,[1]梦灵本体产出!$D$30:$D$38,[1]梦灵本体产出!$L$30:$L$38)*S158*10/[1]梦灵属性!$K$26,[1]梦灵属性!$K$56:$K$104,1)</f>
        <v>17</v>
      </c>
      <c r="AR158" s="350">
        <f>MATCH(_xlfn.XLOOKUP(N158,[1]梦灵本体产出!$D$30:$D$38,[1]梦灵本体产出!$L$30:$L$38)*T158*10/[1]梦灵属性!$K$26,[1]梦灵属性!$K$56:$K$104,1)</f>
        <v>19</v>
      </c>
      <c r="AS158" s="351"/>
      <c r="AT158" s="266">
        <v>14</v>
      </c>
      <c r="AU158" s="350">
        <f>IFERROR(MATCH(_xlfn.XLOOKUP(K158,[1]梦灵本体产出!$D$30:$D$38,[1]梦灵本体产出!$M$30:$M$38)*Q158*10/[1]梦灵属性!$K$26,[1]梦灵属性!$K$56:$K$104,1),0)</f>
        <v>0</v>
      </c>
      <c r="AV158" s="350">
        <f>IFERROR(MATCH(_xlfn.XLOOKUP(L158,[1]梦灵本体产出!$D$30:$D$38,[1]梦灵本体产出!$M$30:$M$38)*R158*10/[1]梦灵属性!$K$26,[1]梦灵属性!$K$56:$K$104,1),0)</f>
        <v>0</v>
      </c>
      <c r="AW158" s="350">
        <f>IFERROR(MATCH(_xlfn.XLOOKUP(M158,[1]梦灵本体产出!$D$30:$D$38,[1]梦灵本体产出!$M$30:$M$38)*S158*10/[1]梦灵属性!$K$26,[1]梦灵属性!$K$56:$K$104,1),0)</f>
        <v>9</v>
      </c>
      <c r="AX158" s="350">
        <f>IFERROR(MATCH(_xlfn.XLOOKUP(N158,[1]梦灵本体产出!$D$30:$D$38,[1]梦灵本体产出!$M$30:$M$38)*T158*10/[1]梦灵属性!$K$26,[1]梦灵属性!$K$56:$K$104,1),0)</f>
        <v>10</v>
      </c>
      <c r="AZ158" s="80">
        <f t="shared" si="12"/>
        <v>475.8</v>
      </c>
    </row>
    <row r="159" outlineLevel="1" spans="3:52">
      <c r="C159" s="80" t="s">
        <v>444</v>
      </c>
      <c r="D159" s="19">
        <v>15</v>
      </c>
      <c r="E159" s="19" t="s">
        <v>441</v>
      </c>
      <c r="F159" s="19" t="s">
        <v>441</v>
      </c>
      <c r="G159" s="19" t="s">
        <v>445</v>
      </c>
      <c r="H159" s="19" t="s">
        <v>446</v>
      </c>
      <c r="J159" s="19">
        <v>15</v>
      </c>
      <c r="K159" s="19">
        <v>3</v>
      </c>
      <c r="L159" s="19">
        <v>3</v>
      </c>
      <c r="M159" s="19">
        <v>4</v>
      </c>
      <c r="N159" s="19">
        <v>4</v>
      </c>
      <c r="P159" s="19">
        <v>15</v>
      </c>
      <c r="Q159" s="266">
        <v>2391.57142857142</v>
      </c>
      <c r="R159" s="266">
        <v>2886.57142857143</v>
      </c>
      <c r="S159" s="266">
        <v>4255.28571428572</v>
      </c>
      <c r="T159" s="266">
        <v>5359.60714285714</v>
      </c>
      <c r="V159" s="19">
        <v>15</v>
      </c>
      <c r="W159" s="350">
        <f t="shared" si="13"/>
        <v>23100</v>
      </c>
      <c r="X159" s="350">
        <f t="shared" si="14"/>
        <v>30030</v>
      </c>
      <c r="Y159" s="350">
        <f t="shared" si="15"/>
        <v>48048</v>
      </c>
      <c r="Z159" s="350">
        <f t="shared" si="16"/>
        <v>63525</v>
      </c>
      <c r="AB159" s="19">
        <v>15</v>
      </c>
      <c r="AC159" s="350">
        <f>MATCH(_xlfn.XLOOKUP(K159,[1]梦灵本体产出!$D$30:$D$38,[1]梦灵本体产出!$J$30:$J$38)*Q159*10/[1]梦灵属性!$K$26,[1]梦灵属性!$K$56:$K$104,1)</f>
        <v>27</v>
      </c>
      <c r="AD159" s="350">
        <f>MATCH(_xlfn.XLOOKUP(L159,[1]梦灵本体产出!$D$30:$D$38,[1]梦灵本体产出!$J$30:$J$38)*R159*10/[1]梦灵属性!$K$26,[1]梦灵属性!$K$56:$K$104,1)</f>
        <v>29</v>
      </c>
      <c r="AE159" s="350">
        <f>MATCH(_xlfn.XLOOKUP(M159,[1]梦灵本体产出!$D$30:$D$38,[1]梦灵本体产出!$J$30:$J$38)*S159*10/[1]梦灵属性!$K$26,[1]梦灵属性!$K$56:$K$104,1)</f>
        <v>31</v>
      </c>
      <c r="AF159" s="350">
        <f>MATCH(_xlfn.XLOOKUP(N159,[1]梦灵本体产出!$D$30:$D$38,[1]梦灵本体产出!$J$30:$J$38)*T159*10/[1]梦灵属性!$K$26,[1]梦灵属性!$K$56:$K$104,1)</f>
        <v>33</v>
      </c>
      <c r="AG159" s="351"/>
      <c r="AH159" s="266">
        <v>15</v>
      </c>
      <c r="AI159" s="350">
        <f>MATCH(_xlfn.XLOOKUP(K159,[1]梦灵本体产出!$D$30:$D$38,[1]梦灵本体产出!$K$30:$K$38)*Q159*10/[1]梦灵属性!$K$26,[1]梦灵属性!$K$56:$K$104,1)</f>
        <v>20</v>
      </c>
      <c r="AJ159" s="350">
        <f>MATCH(_xlfn.XLOOKUP(L159,[1]梦灵本体产出!$D$30:$D$38,[1]梦灵本体产出!$K$30:$K$38)*R159*10/[1]梦灵属性!$K$26,[1]梦灵属性!$K$56:$K$104,1)</f>
        <v>22</v>
      </c>
      <c r="AK159" s="350">
        <f>MATCH(_xlfn.XLOOKUP(M159,[1]梦灵本体产出!$D$30:$D$38,[1]梦灵本体产出!$K$30:$K$38)*S159*10/[1]梦灵属性!$K$26,[1]梦灵属性!$K$56:$K$104,1)</f>
        <v>27</v>
      </c>
      <c r="AL159" s="350">
        <f>MATCH(_xlfn.XLOOKUP(N159,[1]梦灵本体产出!$D$30:$D$38,[1]梦灵本体产出!$K$30:$K$38)*T159*10/[1]梦灵属性!$K$26,[1]梦灵属性!$K$56:$K$104,1)</f>
        <v>29</v>
      </c>
      <c r="AM159" s="351"/>
      <c r="AN159" s="266">
        <v>15</v>
      </c>
      <c r="AO159" s="350">
        <f>MATCH(_xlfn.XLOOKUP(K159,[1]梦灵本体产出!$D$30:$D$38,[1]梦灵本体产出!$L$30:$L$38)*Q159*10/[1]梦灵属性!$K$26,[1]梦灵属性!$K$56:$K$104,1)</f>
        <v>12</v>
      </c>
      <c r="AP159" s="350">
        <f>MATCH(_xlfn.XLOOKUP(L159,[1]梦灵本体产出!$D$30:$D$38,[1]梦灵本体产出!$L$30:$L$38)*R159*10/[1]梦灵属性!$K$26,[1]梦灵属性!$K$56:$K$104,1)</f>
        <v>13</v>
      </c>
      <c r="AQ159" s="350">
        <f>MATCH(_xlfn.XLOOKUP(M159,[1]梦灵本体产出!$D$30:$D$38,[1]梦灵本体产出!$L$30:$L$38)*S159*10/[1]梦灵属性!$K$26,[1]梦灵属性!$K$56:$K$104,1)</f>
        <v>18</v>
      </c>
      <c r="AR159" s="350">
        <f>MATCH(_xlfn.XLOOKUP(N159,[1]梦灵本体产出!$D$30:$D$38,[1]梦灵本体产出!$L$30:$L$38)*T159*10/[1]梦灵属性!$K$26,[1]梦灵属性!$K$56:$K$104,1)</f>
        <v>20</v>
      </c>
      <c r="AS159" s="351"/>
      <c r="AT159" s="266">
        <v>15</v>
      </c>
      <c r="AU159" s="350">
        <f>IFERROR(MATCH(_xlfn.XLOOKUP(K159,[1]梦灵本体产出!$D$30:$D$38,[1]梦灵本体产出!$M$30:$M$38)*Q159*10/[1]梦灵属性!$K$26,[1]梦灵属性!$K$56:$K$104,1),0)</f>
        <v>0</v>
      </c>
      <c r="AV159" s="350">
        <f>IFERROR(MATCH(_xlfn.XLOOKUP(L159,[1]梦灵本体产出!$D$30:$D$38,[1]梦灵本体产出!$M$30:$M$38)*R159*10/[1]梦灵属性!$K$26,[1]梦灵属性!$K$56:$K$104,1),0)</f>
        <v>0</v>
      </c>
      <c r="AW159" s="350">
        <f>IFERROR(MATCH(_xlfn.XLOOKUP(M159,[1]梦灵本体产出!$D$30:$D$38,[1]梦灵本体产出!$M$30:$M$38)*S159*10/[1]梦灵属性!$K$26,[1]梦灵属性!$K$56:$K$104,1),0)</f>
        <v>9</v>
      </c>
      <c r="AX159" s="350">
        <f>IFERROR(MATCH(_xlfn.XLOOKUP(N159,[1]梦灵本体产出!$D$30:$D$38,[1]梦灵本体产出!$M$30:$M$38)*T159*10/[1]梦灵属性!$K$26,[1]梦灵属性!$K$56:$K$104,1),0)</f>
        <v>10</v>
      </c>
      <c r="AZ159" s="80">
        <f t="shared" si="12"/>
        <v>475.8</v>
      </c>
    </row>
    <row r="160" outlineLevel="1" spans="3:52">
      <c r="C160" s="80" t="s">
        <v>444</v>
      </c>
      <c r="D160" s="19">
        <v>16</v>
      </c>
      <c r="E160" s="19" t="s">
        <v>441</v>
      </c>
      <c r="F160" s="19" t="s">
        <v>441</v>
      </c>
      <c r="G160" s="19" t="s">
        <v>445</v>
      </c>
      <c r="H160" s="19" t="s">
        <v>446</v>
      </c>
      <c r="J160" s="19">
        <v>16</v>
      </c>
      <c r="K160" s="19">
        <v>3</v>
      </c>
      <c r="L160" s="19">
        <v>3</v>
      </c>
      <c r="M160" s="19">
        <v>4</v>
      </c>
      <c r="N160" s="19">
        <v>4</v>
      </c>
      <c r="P160" s="19">
        <v>16</v>
      </c>
      <c r="Q160" s="266">
        <v>2505.34285714285</v>
      </c>
      <c r="R160" s="266">
        <v>3029.67619047619</v>
      </c>
      <c r="S160" s="266">
        <v>4483.77142857143</v>
      </c>
      <c r="T160" s="266">
        <v>5661.71428571428</v>
      </c>
      <c r="V160" s="19">
        <v>16</v>
      </c>
      <c r="W160" s="350">
        <f t="shared" si="13"/>
        <v>23100</v>
      </c>
      <c r="X160" s="350">
        <f t="shared" si="14"/>
        <v>30030</v>
      </c>
      <c r="Y160" s="350">
        <f t="shared" si="15"/>
        <v>48048</v>
      </c>
      <c r="Z160" s="350">
        <f t="shared" si="16"/>
        <v>63525</v>
      </c>
      <c r="AB160" s="19">
        <v>16</v>
      </c>
      <c r="AC160" s="350">
        <f>MATCH(_xlfn.XLOOKUP(K160,[1]梦灵本体产出!$D$30:$D$38,[1]梦灵本体产出!$J$30:$J$38)*Q160*10/[1]梦灵属性!$K$26,[1]梦灵属性!$K$56:$K$104,1)</f>
        <v>28</v>
      </c>
      <c r="AD160" s="350">
        <f>MATCH(_xlfn.XLOOKUP(L160,[1]梦灵本体产出!$D$30:$D$38,[1]梦灵本体产出!$J$30:$J$38)*R160*10/[1]梦灵属性!$K$26,[1]梦灵属性!$K$56:$K$104,1)</f>
        <v>29</v>
      </c>
      <c r="AE160" s="350">
        <f>MATCH(_xlfn.XLOOKUP(M160,[1]梦灵本体产出!$D$30:$D$38,[1]梦灵本体产出!$J$30:$J$38)*S160*10/[1]梦灵属性!$K$26,[1]梦灵属性!$K$56:$K$104,1)</f>
        <v>31</v>
      </c>
      <c r="AF160" s="350">
        <f>MATCH(_xlfn.XLOOKUP(N160,[1]梦灵本体产出!$D$30:$D$38,[1]梦灵本体产出!$J$30:$J$38)*T160*10/[1]梦灵属性!$K$26,[1]梦灵属性!$K$56:$K$104,1)</f>
        <v>33</v>
      </c>
      <c r="AG160" s="351"/>
      <c r="AH160" s="266">
        <v>16</v>
      </c>
      <c r="AI160" s="350">
        <f>MATCH(_xlfn.XLOOKUP(K160,[1]梦灵本体产出!$D$30:$D$38,[1]梦灵本体产出!$K$30:$K$38)*Q160*10/[1]梦灵属性!$K$26,[1]梦灵属性!$K$56:$K$104,1)</f>
        <v>20</v>
      </c>
      <c r="AJ160" s="350">
        <f>MATCH(_xlfn.XLOOKUP(L160,[1]梦灵本体产出!$D$30:$D$38,[1]梦灵本体产出!$K$30:$K$38)*R160*10/[1]梦灵属性!$K$26,[1]梦灵属性!$K$56:$K$104,1)</f>
        <v>22</v>
      </c>
      <c r="AK160" s="350">
        <f>MATCH(_xlfn.XLOOKUP(M160,[1]梦灵本体产出!$D$30:$D$38,[1]梦灵本体产出!$K$30:$K$38)*S160*10/[1]梦灵属性!$K$26,[1]梦灵属性!$K$56:$K$104,1)</f>
        <v>27</v>
      </c>
      <c r="AL160" s="350">
        <f>MATCH(_xlfn.XLOOKUP(N160,[1]梦灵本体产出!$D$30:$D$38,[1]梦灵本体产出!$K$30:$K$38)*T160*10/[1]梦灵属性!$K$26,[1]梦灵属性!$K$56:$K$104,1)</f>
        <v>29</v>
      </c>
      <c r="AM160" s="351"/>
      <c r="AN160" s="266">
        <v>16</v>
      </c>
      <c r="AO160" s="350">
        <f>MATCH(_xlfn.XLOOKUP(K160,[1]梦灵本体产出!$D$30:$D$38,[1]梦灵本体产出!$L$30:$L$38)*Q160*10/[1]梦灵属性!$K$26,[1]梦灵属性!$K$56:$K$104,1)</f>
        <v>12</v>
      </c>
      <c r="AP160" s="350">
        <f>MATCH(_xlfn.XLOOKUP(L160,[1]梦灵本体产出!$D$30:$D$38,[1]梦灵本体产出!$L$30:$L$38)*R160*10/[1]梦灵属性!$K$26,[1]梦灵属性!$K$56:$K$104,1)</f>
        <v>14</v>
      </c>
      <c r="AQ160" s="350">
        <f>MATCH(_xlfn.XLOOKUP(M160,[1]梦灵本体产出!$D$30:$D$38,[1]梦灵本体产出!$L$30:$L$38)*S160*10/[1]梦灵属性!$K$26,[1]梦灵属性!$K$56:$K$104,1)</f>
        <v>18</v>
      </c>
      <c r="AR160" s="350">
        <f>MATCH(_xlfn.XLOOKUP(N160,[1]梦灵本体产出!$D$30:$D$38,[1]梦灵本体产出!$L$30:$L$38)*T160*10/[1]梦灵属性!$K$26,[1]梦灵属性!$K$56:$K$104,1)</f>
        <v>20</v>
      </c>
      <c r="AS160" s="351"/>
      <c r="AT160" s="266">
        <v>16</v>
      </c>
      <c r="AU160" s="350">
        <f>IFERROR(MATCH(_xlfn.XLOOKUP(K160,[1]梦灵本体产出!$D$30:$D$38,[1]梦灵本体产出!$M$30:$M$38)*Q160*10/[1]梦灵属性!$K$26,[1]梦灵属性!$K$56:$K$104,1),0)</f>
        <v>0</v>
      </c>
      <c r="AV160" s="350">
        <f>IFERROR(MATCH(_xlfn.XLOOKUP(L160,[1]梦灵本体产出!$D$30:$D$38,[1]梦灵本体产出!$M$30:$M$38)*R160*10/[1]梦灵属性!$K$26,[1]梦灵属性!$K$56:$K$104,1),0)</f>
        <v>0</v>
      </c>
      <c r="AW160" s="350">
        <f>IFERROR(MATCH(_xlfn.XLOOKUP(M160,[1]梦灵本体产出!$D$30:$D$38,[1]梦灵本体产出!$M$30:$M$38)*S160*10/[1]梦灵属性!$K$26,[1]梦灵属性!$K$56:$K$104,1),0)</f>
        <v>9</v>
      </c>
      <c r="AX160" s="350">
        <f>IFERROR(MATCH(_xlfn.XLOOKUP(N160,[1]梦灵本体产出!$D$30:$D$38,[1]梦灵本体产出!$M$30:$M$38)*T160*10/[1]梦灵属性!$K$26,[1]梦灵属性!$K$56:$K$104,1),0)</f>
        <v>10</v>
      </c>
      <c r="AZ160" s="80">
        <f t="shared" si="12"/>
        <v>478.8</v>
      </c>
    </row>
    <row r="161" outlineLevel="1" spans="3:52">
      <c r="C161" s="80" t="s">
        <v>444</v>
      </c>
      <c r="D161" s="19">
        <v>17</v>
      </c>
      <c r="E161" s="19" t="s">
        <v>441</v>
      </c>
      <c r="F161" s="19" t="s">
        <v>441</v>
      </c>
      <c r="G161" s="19" t="s">
        <v>445</v>
      </c>
      <c r="H161" s="19" t="s">
        <v>446</v>
      </c>
      <c r="J161" s="19">
        <v>17</v>
      </c>
      <c r="K161" s="19">
        <v>3</v>
      </c>
      <c r="L161" s="19">
        <v>3</v>
      </c>
      <c r="M161" s="19">
        <v>4</v>
      </c>
      <c r="N161" s="19">
        <v>4</v>
      </c>
      <c r="P161" s="19">
        <v>17</v>
      </c>
      <c r="Q161" s="266">
        <v>2619.11428571428</v>
      </c>
      <c r="R161" s="266">
        <v>3172.78095238095</v>
      </c>
      <c r="S161" s="266">
        <v>4712.25714285715</v>
      </c>
      <c r="T161" s="266">
        <v>5963.82142857143</v>
      </c>
      <c r="V161" s="19">
        <v>17</v>
      </c>
      <c r="W161" s="350">
        <f t="shared" si="13"/>
        <v>23100</v>
      </c>
      <c r="X161" s="350">
        <f t="shared" si="14"/>
        <v>30030</v>
      </c>
      <c r="Y161" s="350">
        <f t="shared" si="15"/>
        <v>48048</v>
      </c>
      <c r="Z161" s="350">
        <f t="shared" si="16"/>
        <v>63525</v>
      </c>
      <c r="AB161" s="19">
        <v>17</v>
      </c>
      <c r="AC161" s="350">
        <f>MATCH(_xlfn.XLOOKUP(K161,[1]梦灵本体产出!$D$30:$D$38,[1]梦灵本体产出!$J$30:$J$38)*Q161*10/[1]梦灵属性!$K$26,[1]梦灵属性!$K$56:$K$104,1)</f>
        <v>28</v>
      </c>
      <c r="AD161" s="350">
        <f>MATCH(_xlfn.XLOOKUP(L161,[1]梦灵本体产出!$D$30:$D$38,[1]梦灵本体产出!$J$30:$J$38)*R161*10/[1]梦灵属性!$K$26,[1]梦灵属性!$K$56:$K$104,1)</f>
        <v>30</v>
      </c>
      <c r="AE161" s="350">
        <f>MATCH(_xlfn.XLOOKUP(M161,[1]梦灵本体产出!$D$30:$D$38,[1]梦灵本体产出!$J$30:$J$38)*S161*10/[1]梦灵属性!$K$26,[1]梦灵属性!$K$56:$K$104,1)</f>
        <v>31</v>
      </c>
      <c r="AF161" s="350">
        <f>MATCH(_xlfn.XLOOKUP(N161,[1]梦灵本体产出!$D$30:$D$38,[1]梦灵本体产出!$J$30:$J$38)*T161*10/[1]梦灵属性!$K$26,[1]梦灵属性!$K$56:$K$104,1)</f>
        <v>34</v>
      </c>
      <c r="AG161" s="351"/>
      <c r="AH161" s="266">
        <v>17</v>
      </c>
      <c r="AI161" s="350">
        <f>MATCH(_xlfn.XLOOKUP(K161,[1]梦灵本体产出!$D$30:$D$38,[1]梦灵本体产出!$K$30:$K$38)*Q161*10/[1]梦灵属性!$K$26,[1]梦灵属性!$K$56:$K$104,1)</f>
        <v>21</v>
      </c>
      <c r="AJ161" s="350">
        <f>MATCH(_xlfn.XLOOKUP(L161,[1]梦灵本体产出!$D$30:$D$38,[1]梦灵本体产出!$K$30:$K$38)*R161*10/[1]梦灵属性!$K$26,[1]梦灵属性!$K$56:$K$104,1)</f>
        <v>23</v>
      </c>
      <c r="AK161" s="350">
        <f>MATCH(_xlfn.XLOOKUP(M161,[1]梦灵本体产出!$D$30:$D$38,[1]梦灵本体产出!$K$30:$K$38)*S161*10/[1]梦灵属性!$K$26,[1]梦灵属性!$K$56:$K$104,1)</f>
        <v>28</v>
      </c>
      <c r="AL161" s="350">
        <f>MATCH(_xlfn.XLOOKUP(N161,[1]梦灵本体产出!$D$30:$D$38,[1]梦灵本体产出!$K$30:$K$38)*T161*10/[1]梦灵属性!$K$26,[1]梦灵属性!$K$56:$K$104,1)</f>
        <v>29</v>
      </c>
      <c r="AM161" s="351"/>
      <c r="AN161" s="266">
        <v>17</v>
      </c>
      <c r="AO161" s="350">
        <f>MATCH(_xlfn.XLOOKUP(K161,[1]梦灵本体产出!$D$30:$D$38,[1]梦灵本体产出!$L$30:$L$38)*Q161*10/[1]梦灵属性!$K$26,[1]梦灵属性!$K$56:$K$104,1)</f>
        <v>13</v>
      </c>
      <c r="AP161" s="350">
        <f>MATCH(_xlfn.XLOOKUP(L161,[1]梦灵本体产出!$D$30:$D$38,[1]梦灵本体产出!$L$30:$L$38)*R161*10/[1]梦灵属性!$K$26,[1]梦灵属性!$K$56:$K$104,1)</f>
        <v>14</v>
      </c>
      <c r="AQ161" s="350">
        <f>MATCH(_xlfn.XLOOKUP(M161,[1]梦灵本体产出!$D$30:$D$38,[1]梦灵本体产出!$L$30:$L$38)*S161*10/[1]梦灵属性!$K$26,[1]梦灵属性!$K$56:$K$104,1)</f>
        <v>19</v>
      </c>
      <c r="AR161" s="350">
        <f>MATCH(_xlfn.XLOOKUP(N161,[1]梦灵本体产出!$D$30:$D$38,[1]梦灵本体产出!$L$30:$L$38)*T161*10/[1]梦灵属性!$K$26,[1]梦灵属性!$K$56:$K$104,1)</f>
        <v>21</v>
      </c>
      <c r="AS161" s="351"/>
      <c r="AT161" s="266">
        <v>17</v>
      </c>
      <c r="AU161" s="350">
        <f>IFERROR(MATCH(_xlfn.XLOOKUP(K161,[1]梦灵本体产出!$D$30:$D$38,[1]梦灵本体产出!$M$30:$M$38)*Q161*10/[1]梦灵属性!$K$26,[1]梦灵属性!$K$56:$K$104,1),0)</f>
        <v>0</v>
      </c>
      <c r="AV161" s="350">
        <f>IFERROR(MATCH(_xlfn.XLOOKUP(L161,[1]梦灵本体产出!$D$30:$D$38,[1]梦灵本体产出!$M$30:$M$38)*R161*10/[1]梦灵属性!$K$26,[1]梦灵属性!$K$56:$K$104,1),0)</f>
        <v>0</v>
      </c>
      <c r="AW161" s="350">
        <f>IFERROR(MATCH(_xlfn.XLOOKUP(M161,[1]梦灵本体产出!$D$30:$D$38,[1]梦灵本体产出!$M$30:$M$38)*S161*10/[1]梦灵属性!$K$26,[1]梦灵属性!$K$56:$K$104,1),0)</f>
        <v>9</v>
      </c>
      <c r="AX161" s="350">
        <f>IFERROR(MATCH(_xlfn.XLOOKUP(N161,[1]梦灵本体产出!$D$30:$D$38,[1]梦灵本体产出!$M$30:$M$38)*T161*10/[1]梦灵属性!$K$26,[1]梦灵属性!$K$56:$K$104,1),0)</f>
        <v>11</v>
      </c>
      <c r="AZ161" s="80">
        <f t="shared" si="12"/>
        <v>494.4</v>
      </c>
    </row>
    <row r="162" outlineLevel="1" spans="3:52">
      <c r="C162" s="80" t="s">
        <v>444</v>
      </c>
      <c r="D162" s="19">
        <v>18</v>
      </c>
      <c r="E162" s="19" t="s">
        <v>441</v>
      </c>
      <c r="F162" s="19" t="s">
        <v>443</v>
      </c>
      <c r="G162" s="19" t="s">
        <v>445</v>
      </c>
      <c r="H162" s="19" t="s">
        <v>446</v>
      </c>
      <c r="J162" s="19">
        <v>18</v>
      </c>
      <c r="K162" s="19">
        <v>3</v>
      </c>
      <c r="L162" s="19">
        <v>4</v>
      </c>
      <c r="M162" s="19">
        <v>4</v>
      </c>
      <c r="N162" s="19">
        <v>4</v>
      </c>
      <c r="P162" s="19">
        <v>18</v>
      </c>
      <c r="Q162" s="266">
        <v>2732.88571428571</v>
      </c>
      <c r="R162" s="266">
        <v>3315.88571428571</v>
      </c>
      <c r="S162" s="266">
        <v>4940.74285714286</v>
      </c>
      <c r="T162" s="266">
        <v>6265.92857142857</v>
      </c>
      <c r="V162" s="19">
        <v>18</v>
      </c>
      <c r="W162" s="350">
        <f t="shared" si="13"/>
        <v>23100</v>
      </c>
      <c r="X162" s="350">
        <f t="shared" si="14"/>
        <v>30030</v>
      </c>
      <c r="Y162" s="350">
        <f t="shared" si="15"/>
        <v>48048</v>
      </c>
      <c r="Z162" s="350">
        <f t="shared" si="16"/>
        <v>63525</v>
      </c>
      <c r="AB162" s="19">
        <v>18</v>
      </c>
      <c r="AC162" s="350">
        <f>MATCH(_xlfn.XLOOKUP(K162,[1]梦灵本体产出!$D$30:$D$38,[1]梦灵本体产出!$J$30:$J$38)*Q162*10/[1]梦灵属性!$K$26,[1]梦灵属性!$K$56:$K$104,1)</f>
        <v>29</v>
      </c>
      <c r="AD162" s="350">
        <f>MATCH(_xlfn.XLOOKUP(L162,[1]梦灵本体产出!$D$30:$D$38,[1]梦灵本体产出!$J$30:$J$38)*R162*10/[1]梦灵属性!$K$26,[1]梦灵属性!$K$56:$K$104,1)</f>
        <v>29</v>
      </c>
      <c r="AE162" s="350">
        <f>MATCH(_xlfn.XLOOKUP(M162,[1]梦灵本体产出!$D$30:$D$38,[1]梦灵本体产出!$J$30:$J$38)*S162*10/[1]梦灵属性!$K$26,[1]梦灵属性!$K$56:$K$104,1)</f>
        <v>32</v>
      </c>
      <c r="AF162" s="350">
        <f>MATCH(_xlfn.XLOOKUP(N162,[1]梦灵本体产出!$D$30:$D$38,[1]梦灵本体产出!$J$30:$J$38)*T162*10/[1]梦灵属性!$K$26,[1]梦灵属性!$K$56:$K$104,1)</f>
        <v>34</v>
      </c>
      <c r="AG162" s="351"/>
      <c r="AH162" s="266">
        <v>18</v>
      </c>
      <c r="AI162" s="350">
        <f>MATCH(_xlfn.XLOOKUP(K162,[1]梦灵本体产出!$D$30:$D$38,[1]梦灵本体产出!$K$30:$K$38)*Q162*10/[1]梦灵属性!$K$26,[1]梦灵属性!$K$56:$K$104,1)</f>
        <v>21</v>
      </c>
      <c r="AJ162" s="350">
        <f>MATCH(_xlfn.XLOOKUP(L162,[1]梦灵本体产出!$D$30:$D$38,[1]梦灵本体产出!$K$30:$K$38)*R162*10/[1]梦灵属性!$K$26,[1]梦灵属性!$K$56:$K$104,1)</f>
        <v>24</v>
      </c>
      <c r="AK162" s="350">
        <f>MATCH(_xlfn.XLOOKUP(M162,[1]梦灵本体产出!$D$30:$D$38,[1]梦灵本体产出!$K$30:$K$38)*S162*10/[1]梦灵属性!$K$26,[1]梦灵属性!$K$56:$K$104,1)</f>
        <v>28</v>
      </c>
      <c r="AL162" s="350">
        <f>MATCH(_xlfn.XLOOKUP(N162,[1]梦灵本体产出!$D$30:$D$38,[1]梦灵本体产出!$K$30:$K$38)*T162*10/[1]梦灵属性!$K$26,[1]梦灵属性!$K$56:$K$104,1)</f>
        <v>30</v>
      </c>
      <c r="AM162" s="351"/>
      <c r="AN162" s="266">
        <v>18</v>
      </c>
      <c r="AO162" s="350">
        <f>MATCH(_xlfn.XLOOKUP(K162,[1]梦灵本体产出!$D$30:$D$38,[1]梦灵本体产出!$L$30:$L$38)*Q162*10/[1]梦灵属性!$K$26,[1]梦灵属性!$K$56:$K$104,1)</f>
        <v>13</v>
      </c>
      <c r="AP162" s="350">
        <f>MATCH(_xlfn.XLOOKUP(L162,[1]梦灵本体产出!$D$30:$D$38,[1]梦灵本体产出!$L$30:$L$38)*R162*10/[1]梦灵属性!$K$26,[1]梦灵属性!$K$56:$K$104,1)</f>
        <v>15</v>
      </c>
      <c r="AQ162" s="350">
        <f>MATCH(_xlfn.XLOOKUP(M162,[1]梦灵本体产出!$D$30:$D$38,[1]梦灵本体产出!$L$30:$L$38)*S162*10/[1]梦灵属性!$K$26,[1]梦灵属性!$K$56:$K$104,1)</f>
        <v>19</v>
      </c>
      <c r="AR162" s="350">
        <f>MATCH(_xlfn.XLOOKUP(N162,[1]梦灵本体产出!$D$30:$D$38,[1]梦灵本体产出!$L$30:$L$38)*T162*10/[1]梦灵属性!$K$26,[1]梦灵属性!$K$56:$K$104,1)</f>
        <v>21</v>
      </c>
      <c r="AS162" s="351"/>
      <c r="AT162" s="266">
        <v>18</v>
      </c>
      <c r="AU162" s="350">
        <f>IFERROR(MATCH(_xlfn.XLOOKUP(K162,[1]梦灵本体产出!$D$30:$D$38,[1]梦灵本体产出!$M$30:$M$38)*Q162*10/[1]梦灵属性!$K$26,[1]梦灵属性!$K$56:$K$104,1),0)</f>
        <v>0</v>
      </c>
      <c r="AV162" s="350">
        <f>IFERROR(MATCH(_xlfn.XLOOKUP(L162,[1]梦灵本体产出!$D$30:$D$38,[1]梦灵本体产出!$M$30:$M$38)*R162*10/[1]梦灵属性!$K$26,[1]梦灵属性!$K$56:$K$104,1),0)</f>
        <v>8</v>
      </c>
      <c r="AW162" s="350">
        <f>IFERROR(MATCH(_xlfn.XLOOKUP(M162,[1]梦灵本体产出!$D$30:$D$38,[1]梦灵本体产出!$M$30:$M$38)*S162*10/[1]梦灵属性!$K$26,[1]梦灵属性!$K$56:$K$104,1),0)</f>
        <v>10</v>
      </c>
      <c r="AX162" s="350">
        <f>IFERROR(MATCH(_xlfn.XLOOKUP(N162,[1]梦灵本体产出!$D$30:$D$38,[1]梦灵本体产出!$M$30:$M$38)*T162*10/[1]梦灵属性!$K$26,[1]梦灵属性!$K$56:$K$104,1),0)</f>
        <v>11</v>
      </c>
      <c r="AZ162" s="80">
        <f t="shared" si="12"/>
        <v>497.4</v>
      </c>
    </row>
    <row r="163" outlineLevel="1" spans="3:52">
      <c r="C163" s="80" t="s">
        <v>444</v>
      </c>
      <c r="D163" s="19">
        <v>19</v>
      </c>
      <c r="E163" s="19" t="s">
        <v>441</v>
      </c>
      <c r="F163" s="19" t="s">
        <v>443</v>
      </c>
      <c r="G163" s="19" t="s">
        <v>446</v>
      </c>
      <c r="H163" s="19" t="s">
        <v>447</v>
      </c>
      <c r="J163" s="19">
        <v>19</v>
      </c>
      <c r="K163" s="19">
        <v>3</v>
      </c>
      <c r="L163" s="19">
        <v>4</v>
      </c>
      <c r="M163" s="19">
        <v>4</v>
      </c>
      <c r="N163" s="19">
        <v>5</v>
      </c>
      <c r="P163" s="19">
        <v>19</v>
      </c>
      <c r="Q163" s="266">
        <v>2846.65714285713</v>
      </c>
      <c r="R163" s="266">
        <v>3458.99047619047</v>
      </c>
      <c r="S163" s="266">
        <v>5169.22857142858</v>
      </c>
      <c r="T163" s="266">
        <v>6568.03571428571</v>
      </c>
      <c r="V163" s="19">
        <v>19</v>
      </c>
      <c r="W163" s="350">
        <f t="shared" si="13"/>
        <v>23100</v>
      </c>
      <c r="X163" s="350">
        <f t="shared" si="14"/>
        <v>30030</v>
      </c>
      <c r="Y163" s="350">
        <f t="shared" si="15"/>
        <v>48048</v>
      </c>
      <c r="Z163" s="350">
        <f t="shared" si="16"/>
        <v>63525</v>
      </c>
      <c r="AB163" s="19">
        <v>19</v>
      </c>
      <c r="AC163" s="350">
        <f>MATCH(_xlfn.XLOOKUP(K163,[1]梦灵本体产出!$D$30:$D$38,[1]梦灵本体产出!$J$30:$J$38)*Q163*10/[1]梦灵属性!$K$26,[1]梦灵属性!$K$56:$K$104,1)</f>
        <v>29</v>
      </c>
      <c r="AD163" s="350">
        <f>MATCH(_xlfn.XLOOKUP(L163,[1]梦灵本体产出!$D$30:$D$38,[1]梦灵本体产出!$J$30:$J$38)*R163*10/[1]梦灵属性!$K$26,[1]梦灵属性!$K$56:$K$104,1)</f>
        <v>29</v>
      </c>
      <c r="AE163" s="350">
        <f>MATCH(_xlfn.XLOOKUP(M163,[1]梦灵本体产出!$D$30:$D$38,[1]梦灵本体产出!$J$30:$J$38)*S163*10/[1]梦灵属性!$K$26,[1]梦灵属性!$K$56:$K$104,1)</f>
        <v>32</v>
      </c>
      <c r="AF163" s="350">
        <f>MATCH(_xlfn.XLOOKUP(N163,[1]梦灵本体产出!$D$30:$D$38,[1]梦灵本体产出!$J$30:$J$38)*T163*10/[1]梦灵属性!$K$26,[1]梦灵属性!$K$56:$K$104,1)</f>
        <v>33</v>
      </c>
      <c r="AG163" s="351"/>
      <c r="AH163" s="266">
        <v>19</v>
      </c>
      <c r="AI163" s="350">
        <f>MATCH(_xlfn.XLOOKUP(K163,[1]梦灵本体产出!$D$30:$D$38,[1]梦灵本体产出!$K$30:$K$38)*Q163*10/[1]梦灵属性!$K$26,[1]梦灵属性!$K$56:$K$104,1)</f>
        <v>22</v>
      </c>
      <c r="AJ163" s="350">
        <f>MATCH(_xlfn.XLOOKUP(L163,[1]梦灵本体产出!$D$30:$D$38,[1]梦灵本体产出!$K$30:$K$38)*R163*10/[1]梦灵属性!$K$26,[1]梦灵属性!$K$56:$K$104,1)</f>
        <v>25</v>
      </c>
      <c r="AK163" s="350">
        <f>MATCH(_xlfn.XLOOKUP(M163,[1]梦灵本体产出!$D$30:$D$38,[1]梦灵本体产出!$K$30:$K$38)*S163*10/[1]梦灵属性!$K$26,[1]梦灵属性!$K$56:$K$104,1)</f>
        <v>29</v>
      </c>
      <c r="AL163" s="350">
        <f>MATCH(_xlfn.XLOOKUP(N163,[1]梦灵本体产出!$D$30:$D$38,[1]梦灵本体产出!$K$30:$K$38)*T163*10/[1]梦灵属性!$K$26,[1]梦灵属性!$K$56:$K$104,1)</f>
        <v>31</v>
      </c>
      <c r="AM163" s="351"/>
      <c r="AN163" s="266">
        <v>19</v>
      </c>
      <c r="AO163" s="350">
        <f>MATCH(_xlfn.XLOOKUP(K163,[1]梦灵本体产出!$D$30:$D$38,[1]梦灵本体产出!$L$30:$L$38)*Q163*10/[1]梦灵属性!$K$26,[1]梦灵属性!$K$56:$K$104,1)</f>
        <v>13</v>
      </c>
      <c r="AP163" s="350">
        <f>MATCH(_xlfn.XLOOKUP(L163,[1]梦灵本体产出!$D$30:$D$38,[1]梦灵本体产出!$L$30:$L$38)*R163*10/[1]梦灵属性!$K$26,[1]梦灵属性!$K$56:$K$104,1)</f>
        <v>16</v>
      </c>
      <c r="AQ163" s="350">
        <f>MATCH(_xlfn.XLOOKUP(M163,[1]梦灵本体产出!$D$30:$D$38,[1]梦灵本体产出!$L$30:$L$38)*S163*10/[1]梦灵属性!$K$26,[1]梦灵属性!$K$56:$K$104,1)</f>
        <v>19</v>
      </c>
      <c r="AR163" s="350">
        <f>MATCH(_xlfn.XLOOKUP(N163,[1]梦灵本体产出!$D$30:$D$38,[1]梦灵本体产出!$L$30:$L$38)*T163*10/[1]梦灵属性!$K$26,[1]梦灵属性!$K$56:$K$104,1)</f>
        <v>24</v>
      </c>
      <c r="AS163" s="351"/>
      <c r="AT163" s="266">
        <v>19</v>
      </c>
      <c r="AU163" s="350">
        <f>IFERROR(MATCH(_xlfn.XLOOKUP(K163,[1]梦灵本体产出!$D$30:$D$38,[1]梦灵本体产出!$M$30:$M$38)*Q163*10/[1]梦灵属性!$K$26,[1]梦灵属性!$K$56:$K$104,1),0)</f>
        <v>0</v>
      </c>
      <c r="AV163" s="350">
        <f>IFERROR(MATCH(_xlfn.XLOOKUP(L163,[1]梦灵本体产出!$D$30:$D$38,[1]梦灵本体产出!$M$30:$M$38)*R163*10/[1]梦灵属性!$K$26,[1]梦灵属性!$K$56:$K$104,1),0)</f>
        <v>8</v>
      </c>
      <c r="AW163" s="350">
        <f>IFERROR(MATCH(_xlfn.XLOOKUP(M163,[1]梦灵本体产出!$D$30:$D$38,[1]梦灵本体产出!$M$30:$M$38)*S163*10/[1]梦灵属性!$K$26,[1]梦灵属性!$K$56:$K$104,1),0)</f>
        <v>10</v>
      </c>
      <c r="AX163" s="350">
        <f>IFERROR(MATCH(_xlfn.XLOOKUP(N163,[1]梦灵本体产出!$D$30:$D$38,[1]梦灵本体产出!$M$30:$M$38)*T163*10/[1]梦灵属性!$K$26,[1]梦灵属性!$K$56:$K$104,1),0)</f>
        <v>14</v>
      </c>
      <c r="AZ163" s="80">
        <f t="shared" si="12"/>
        <v>504.6</v>
      </c>
    </row>
    <row r="164" outlineLevel="1" spans="3:52">
      <c r="C164" s="80" t="s">
        <v>444</v>
      </c>
      <c r="D164" s="19">
        <v>20</v>
      </c>
      <c r="E164" s="19" t="s">
        <v>441</v>
      </c>
      <c r="F164" s="19" t="s">
        <v>443</v>
      </c>
      <c r="G164" s="19" t="s">
        <v>446</v>
      </c>
      <c r="H164" s="19" t="s">
        <v>447</v>
      </c>
      <c r="J164" s="19">
        <v>20</v>
      </c>
      <c r="K164" s="19">
        <v>3</v>
      </c>
      <c r="L164" s="19">
        <v>4</v>
      </c>
      <c r="M164" s="19">
        <v>4</v>
      </c>
      <c r="N164" s="19">
        <v>5</v>
      </c>
      <c r="P164" s="19">
        <v>20</v>
      </c>
      <c r="Q164" s="266">
        <v>2960.42857142856</v>
      </c>
      <c r="R164" s="266">
        <v>3602.09523809524</v>
      </c>
      <c r="S164" s="266">
        <v>5397.71428571429</v>
      </c>
      <c r="T164" s="266">
        <v>6870.14285714285</v>
      </c>
      <c r="V164" s="19">
        <v>20</v>
      </c>
      <c r="W164" s="350">
        <f t="shared" si="13"/>
        <v>23100</v>
      </c>
      <c r="X164" s="350">
        <f t="shared" si="14"/>
        <v>30030</v>
      </c>
      <c r="Y164" s="350">
        <f t="shared" si="15"/>
        <v>48048</v>
      </c>
      <c r="Z164" s="350">
        <f t="shared" si="16"/>
        <v>63525</v>
      </c>
      <c r="AB164" s="19">
        <v>20</v>
      </c>
      <c r="AC164" s="350">
        <f>MATCH(_xlfn.XLOOKUP(K164,[1]梦灵本体产出!$D$30:$D$38,[1]梦灵本体产出!$J$30:$J$38)*Q164*10/[1]梦灵属性!$K$26,[1]梦灵属性!$K$56:$K$104,1)</f>
        <v>29</v>
      </c>
      <c r="AD164" s="350">
        <f>MATCH(_xlfn.XLOOKUP(L164,[1]梦灵本体产出!$D$30:$D$38,[1]梦灵本体产出!$J$30:$J$38)*R164*10/[1]梦灵属性!$K$26,[1]梦灵属性!$K$56:$K$104,1)</f>
        <v>29</v>
      </c>
      <c r="AE164" s="350">
        <f>MATCH(_xlfn.XLOOKUP(M164,[1]梦灵本体产出!$D$30:$D$38,[1]梦灵本体产出!$J$30:$J$38)*S164*10/[1]梦灵属性!$K$26,[1]梦灵属性!$K$56:$K$104,1)</f>
        <v>33</v>
      </c>
      <c r="AF164" s="350">
        <f>MATCH(_xlfn.XLOOKUP(N164,[1]梦灵本体产出!$D$30:$D$38,[1]梦灵本体产出!$J$30:$J$38)*T164*10/[1]梦灵属性!$K$26,[1]梦灵属性!$K$56:$K$104,1)</f>
        <v>33</v>
      </c>
      <c r="AG164" s="351"/>
      <c r="AH164" s="266">
        <v>20</v>
      </c>
      <c r="AI164" s="350">
        <f>MATCH(_xlfn.XLOOKUP(K164,[1]梦灵本体产出!$D$30:$D$38,[1]梦灵本体产出!$K$30:$K$38)*Q164*10/[1]梦灵属性!$K$26,[1]梦灵属性!$K$56:$K$104,1)</f>
        <v>22</v>
      </c>
      <c r="AJ164" s="350">
        <f>MATCH(_xlfn.XLOOKUP(L164,[1]梦灵本体产出!$D$30:$D$38,[1]梦灵本体产出!$K$30:$K$38)*R164*10/[1]梦灵属性!$K$26,[1]梦灵属性!$K$56:$K$104,1)</f>
        <v>25</v>
      </c>
      <c r="AK164" s="350">
        <f>MATCH(_xlfn.XLOOKUP(M164,[1]梦灵本体产出!$D$30:$D$38,[1]梦灵本体产出!$K$30:$K$38)*S164*10/[1]梦灵属性!$K$26,[1]梦灵属性!$K$56:$K$104,1)</f>
        <v>29</v>
      </c>
      <c r="AL164" s="350">
        <f>MATCH(_xlfn.XLOOKUP(N164,[1]梦灵本体产出!$D$30:$D$38,[1]梦灵本体产出!$K$30:$K$38)*T164*10/[1]梦灵属性!$K$26,[1]梦灵属性!$K$56:$K$104,1)</f>
        <v>31</v>
      </c>
      <c r="AM164" s="351"/>
      <c r="AN164" s="266">
        <v>20</v>
      </c>
      <c r="AO164" s="350">
        <f>MATCH(_xlfn.XLOOKUP(K164,[1]梦灵本体产出!$D$30:$D$38,[1]梦灵本体产出!$L$30:$L$38)*Q164*10/[1]梦灵属性!$K$26,[1]梦灵属性!$K$56:$K$104,1)</f>
        <v>14</v>
      </c>
      <c r="AP164" s="350">
        <f>MATCH(_xlfn.XLOOKUP(L164,[1]梦灵本体产出!$D$30:$D$38,[1]梦灵本体产出!$L$30:$L$38)*R164*10/[1]梦灵属性!$K$26,[1]梦灵属性!$K$56:$K$104,1)</f>
        <v>16</v>
      </c>
      <c r="AQ164" s="350">
        <f>MATCH(_xlfn.XLOOKUP(M164,[1]梦灵本体产出!$D$30:$D$38,[1]梦灵本体产出!$L$30:$L$38)*S164*10/[1]梦灵属性!$K$26,[1]梦灵属性!$K$56:$K$104,1)</f>
        <v>20</v>
      </c>
      <c r="AR164" s="350">
        <f>MATCH(_xlfn.XLOOKUP(N164,[1]梦灵本体产出!$D$30:$D$38,[1]梦灵本体产出!$L$30:$L$38)*T164*10/[1]梦灵属性!$K$26,[1]梦灵属性!$K$56:$K$104,1)</f>
        <v>25</v>
      </c>
      <c r="AS164" s="351"/>
      <c r="AT164" s="266">
        <v>20</v>
      </c>
      <c r="AU164" s="350">
        <f>IFERROR(MATCH(_xlfn.XLOOKUP(K164,[1]梦灵本体产出!$D$30:$D$38,[1]梦灵本体产出!$M$30:$M$38)*Q164*10/[1]梦灵属性!$K$26,[1]梦灵属性!$K$56:$K$104,1),0)</f>
        <v>0</v>
      </c>
      <c r="AV164" s="350">
        <f>IFERROR(MATCH(_xlfn.XLOOKUP(L164,[1]梦灵本体产出!$D$30:$D$38,[1]梦灵本体产出!$M$30:$M$38)*R164*10/[1]梦灵属性!$K$26,[1]梦灵属性!$K$56:$K$104,1),0)</f>
        <v>8</v>
      </c>
      <c r="AW164" s="350">
        <f>IFERROR(MATCH(_xlfn.XLOOKUP(M164,[1]梦灵本体产出!$D$30:$D$38,[1]梦灵本体产出!$M$30:$M$38)*S164*10/[1]梦灵属性!$K$26,[1]梦灵属性!$K$56:$K$104,1),0)</f>
        <v>10</v>
      </c>
      <c r="AX164" s="350">
        <f>IFERROR(MATCH(_xlfn.XLOOKUP(N164,[1]梦灵本体产出!$D$30:$D$38,[1]梦灵本体产出!$M$30:$M$38)*T164*10/[1]梦灵属性!$K$26,[1]梦灵属性!$K$56:$K$104,1),0)</f>
        <v>14</v>
      </c>
      <c r="AZ164" s="80">
        <f t="shared" si="12"/>
        <v>513</v>
      </c>
    </row>
    <row r="165" outlineLevel="1" spans="3:52">
      <c r="C165" s="80" t="s">
        <v>444</v>
      </c>
      <c r="D165" s="19">
        <v>21</v>
      </c>
      <c r="E165" s="19" t="s">
        <v>441</v>
      </c>
      <c r="F165" s="19" t="s">
        <v>443</v>
      </c>
      <c r="G165" s="19" t="s">
        <v>446</v>
      </c>
      <c r="H165" s="19" t="s">
        <v>447</v>
      </c>
      <c r="J165" s="19">
        <v>21</v>
      </c>
      <c r="K165" s="19">
        <v>3</v>
      </c>
      <c r="L165" s="19">
        <v>4</v>
      </c>
      <c r="M165" s="19">
        <v>4</v>
      </c>
      <c r="N165" s="19">
        <v>5</v>
      </c>
      <c r="P165" s="19">
        <v>21</v>
      </c>
      <c r="Q165" s="266">
        <v>3074.19999999999</v>
      </c>
      <c r="R165" s="266">
        <v>3745.2</v>
      </c>
      <c r="S165" s="266">
        <v>5626.20000000001</v>
      </c>
      <c r="T165" s="266">
        <v>7172.25</v>
      </c>
      <c r="V165" s="19">
        <v>21</v>
      </c>
      <c r="W165" s="350">
        <f t="shared" si="13"/>
        <v>23100</v>
      </c>
      <c r="X165" s="350">
        <f t="shared" si="14"/>
        <v>30030</v>
      </c>
      <c r="Y165" s="350">
        <f t="shared" si="15"/>
        <v>48048</v>
      </c>
      <c r="Z165" s="350">
        <f t="shared" si="16"/>
        <v>63525</v>
      </c>
      <c r="AB165" s="19">
        <v>21</v>
      </c>
      <c r="AC165" s="350">
        <f>MATCH(_xlfn.XLOOKUP(K165,[1]梦灵本体产出!$D$30:$D$38,[1]梦灵本体产出!$J$30:$J$38)*Q165*10/[1]梦灵属性!$K$26,[1]梦灵属性!$K$56:$K$104,1)</f>
        <v>29</v>
      </c>
      <c r="AD165" s="350">
        <f>MATCH(_xlfn.XLOOKUP(L165,[1]梦灵本体产出!$D$30:$D$38,[1]梦灵本体产出!$J$30:$J$38)*R165*10/[1]梦灵属性!$K$26,[1]梦灵属性!$K$56:$K$104,1)</f>
        <v>30</v>
      </c>
      <c r="AE165" s="350">
        <f>MATCH(_xlfn.XLOOKUP(M165,[1]梦灵本体产出!$D$30:$D$38,[1]梦灵本体产出!$J$30:$J$38)*S165*10/[1]梦灵属性!$K$26,[1]梦灵属性!$K$56:$K$104,1)</f>
        <v>33</v>
      </c>
      <c r="AF165" s="350">
        <f>MATCH(_xlfn.XLOOKUP(N165,[1]梦灵本体产出!$D$30:$D$38,[1]梦灵本体产出!$J$30:$J$38)*T165*10/[1]梦灵属性!$K$26,[1]梦灵属性!$K$56:$K$104,1)</f>
        <v>34</v>
      </c>
      <c r="AG165" s="351"/>
      <c r="AH165" s="266">
        <v>21</v>
      </c>
      <c r="AI165" s="350">
        <f>MATCH(_xlfn.XLOOKUP(K165,[1]梦灵本体产出!$D$30:$D$38,[1]梦灵本体产出!$K$30:$K$38)*Q165*10/[1]梦灵属性!$K$26,[1]梦灵属性!$K$56:$K$104,1)</f>
        <v>23</v>
      </c>
      <c r="AJ165" s="350">
        <f>MATCH(_xlfn.XLOOKUP(L165,[1]梦灵本体产出!$D$30:$D$38,[1]梦灵本体产出!$K$30:$K$38)*R165*10/[1]梦灵属性!$K$26,[1]梦灵属性!$K$56:$K$104,1)</f>
        <v>25</v>
      </c>
      <c r="AK165" s="350">
        <f>MATCH(_xlfn.XLOOKUP(M165,[1]梦灵本体产出!$D$30:$D$38,[1]梦灵本体产出!$K$30:$K$38)*S165*10/[1]梦灵属性!$K$26,[1]梦灵属性!$K$56:$K$104,1)</f>
        <v>29</v>
      </c>
      <c r="AL165" s="350">
        <f>MATCH(_xlfn.XLOOKUP(N165,[1]梦灵本体产出!$D$30:$D$38,[1]梦灵本体产出!$K$30:$K$38)*T165*10/[1]梦灵属性!$K$26,[1]梦灵属性!$K$56:$K$104,1)</f>
        <v>32</v>
      </c>
      <c r="AM165" s="351"/>
      <c r="AN165" s="266">
        <v>21</v>
      </c>
      <c r="AO165" s="350">
        <f>MATCH(_xlfn.XLOOKUP(K165,[1]梦灵本体产出!$D$30:$D$38,[1]梦灵本体产出!$L$30:$L$38)*Q165*10/[1]梦灵属性!$K$26,[1]梦灵属性!$K$56:$K$104,1)</f>
        <v>14</v>
      </c>
      <c r="AP165" s="350">
        <f>MATCH(_xlfn.XLOOKUP(L165,[1]梦灵本体产出!$D$30:$D$38,[1]梦灵本体产出!$L$30:$L$38)*R165*10/[1]梦灵属性!$K$26,[1]梦灵属性!$K$56:$K$104,1)</f>
        <v>16</v>
      </c>
      <c r="AQ165" s="350">
        <f>MATCH(_xlfn.XLOOKUP(M165,[1]梦灵本体产出!$D$30:$D$38,[1]梦灵本体产出!$L$30:$L$38)*S165*10/[1]梦灵属性!$K$26,[1]梦灵属性!$K$56:$K$104,1)</f>
        <v>20</v>
      </c>
      <c r="AR165" s="350">
        <f>MATCH(_xlfn.XLOOKUP(N165,[1]梦灵本体产出!$D$30:$D$38,[1]梦灵本体产出!$L$30:$L$38)*T165*10/[1]梦灵属性!$K$26,[1]梦灵属性!$K$56:$K$104,1)</f>
        <v>25</v>
      </c>
      <c r="AS165" s="351"/>
      <c r="AT165" s="266">
        <v>21</v>
      </c>
      <c r="AU165" s="350">
        <f>IFERROR(MATCH(_xlfn.XLOOKUP(K165,[1]梦灵本体产出!$D$30:$D$38,[1]梦灵本体产出!$M$30:$M$38)*Q165*10/[1]梦灵属性!$K$26,[1]梦灵属性!$K$56:$K$104,1),0)</f>
        <v>0</v>
      </c>
      <c r="AV165" s="350">
        <f>IFERROR(MATCH(_xlfn.XLOOKUP(L165,[1]梦灵本体产出!$D$30:$D$38,[1]梦灵本体产出!$M$30:$M$38)*R165*10/[1]梦灵属性!$K$26,[1]梦灵属性!$K$56:$K$104,1),0)</f>
        <v>9</v>
      </c>
      <c r="AW165" s="350">
        <f>IFERROR(MATCH(_xlfn.XLOOKUP(M165,[1]梦灵本体产出!$D$30:$D$38,[1]梦灵本体产出!$M$30:$M$38)*S165*10/[1]梦灵属性!$K$26,[1]梦灵属性!$K$56:$K$104,1),0)</f>
        <v>10</v>
      </c>
      <c r="AX165" s="350">
        <f>IFERROR(MATCH(_xlfn.XLOOKUP(N165,[1]梦灵本体产出!$D$30:$D$38,[1]梦灵本体产出!$M$30:$M$38)*T165*10/[1]梦灵属性!$K$26,[1]梦灵属性!$K$56:$K$104,1),0)</f>
        <v>14</v>
      </c>
      <c r="AZ165" s="80">
        <f t="shared" si="12"/>
        <v>520.2</v>
      </c>
    </row>
    <row r="166" outlineLevel="1" spans="3:52">
      <c r="C166" s="80" t="s">
        <v>444</v>
      </c>
      <c r="D166" s="19">
        <v>22</v>
      </c>
      <c r="E166" s="19" t="s">
        <v>441</v>
      </c>
      <c r="F166" s="19" t="s">
        <v>443</v>
      </c>
      <c r="G166" s="19" t="s">
        <v>446</v>
      </c>
      <c r="H166" s="19" t="s">
        <v>448</v>
      </c>
      <c r="J166" s="19">
        <v>22</v>
      </c>
      <c r="K166" s="19">
        <v>3</v>
      </c>
      <c r="L166" s="19">
        <v>4</v>
      </c>
      <c r="M166" s="19">
        <v>4</v>
      </c>
      <c r="N166" s="19">
        <v>5</v>
      </c>
      <c r="P166" s="19">
        <v>22</v>
      </c>
      <c r="Q166" s="266">
        <v>3187.97142857142</v>
      </c>
      <c r="R166" s="266">
        <v>3888.30476190476</v>
      </c>
      <c r="S166" s="266">
        <v>5854.68571428572</v>
      </c>
      <c r="T166" s="266">
        <v>7474.35714285714</v>
      </c>
      <c r="V166" s="19">
        <v>22</v>
      </c>
      <c r="W166" s="350">
        <f t="shared" ref="W166:W175" si="17">100*30*1.1*7</f>
        <v>23100</v>
      </c>
      <c r="X166" s="350">
        <f t="shared" ref="X166:X175" si="18">130*1.1*30*7</f>
        <v>30030</v>
      </c>
      <c r="Y166" s="350">
        <f t="shared" ref="Y166:Y175" si="19">208*1.1*30*7</f>
        <v>48048</v>
      </c>
      <c r="Z166" s="350">
        <f t="shared" ref="Z166:Z175" si="20">275*1.1*30*7</f>
        <v>63525</v>
      </c>
      <c r="AB166" s="19">
        <v>22</v>
      </c>
      <c r="AC166" s="350">
        <f>MATCH(_xlfn.XLOOKUP(K166,[1]梦灵本体产出!$D$30:$D$38,[1]梦灵本体产出!$J$30:$J$38)*Q166*10/[1]梦灵属性!$K$26,[1]梦灵属性!$K$56:$K$104,1)</f>
        <v>30</v>
      </c>
      <c r="AD166" s="350">
        <f>MATCH(_xlfn.XLOOKUP(L166,[1]梦灵本体产出!$D$30:$D$38,[1]梦灵本体产出!$J$30:$J$38)*R166*10/[1]梦灵属性!$K$26,[1]梦灵属性!$K$56:$K$104,1)</f>
        <v>30</v>
      </c>
      <c r="AE166" s="350">
        <f>MATCH(_xlfn.XLOOKUP(M166,[1]梦灵本体产出!$D$30:$D$38,[1]梦灵本体产出!$J$30:$J$38)*S166*10/[1]梦灵属性!$K$26,[1]梦灵属性!$K$56:$K$104,1)</f>
        <v>34</v>
      </c>
      <c r="AF166" s="350">
        <f>MATCH(_xlfn.XLOOKUP(N166,[1]梦灵本体产出!$D$30:$D$38,[1]梦灵本体产出!$J$30:$J$38)*T166*10/[1]梦灵属性!$K$26,[1]梦灵属性!$K$56:$K$104,1)</f>
        <v>34</v>
      </c>
      <c r="AG166" s="351"/>
      <c r="AH166" s="266">
        <v>22</v>
      </c>
      <c r="AI166" s="350">
        <f>MATCH(_xlfn.XLOOKUP(K166,[1]梦灵本体产出!$D$30:$D$38,[1]梦灵本体产出!$K$30:$K$38)*Q166*10/[1]梦灵属性!$K$26,[1]梦灵属性!$K$56:$K$104,1)</f>
        <v>23</v>
      </c>
      <c r="AJ166" s="350">
        <f>MATCH(_xlfn.XLOOKUP(L166,[1]梦灵本体产出!$D$30:$D$38,[1]梦灵本体产出!$K$30:$K$38)*R166*10/[1]梦灵属性!$K$26,[1]梦灵属性!$K$56:$K$104,1)</f>
        <v>26</v>
      </c>
      <c r="AK166" s="350">
        <f>MATCH(_xlfn.XLOOKUP(M166,[1]梦灵本体产出!$D$30:$D$38,[1]梦灵本体产出!$K$30:$K$38)*S166*10/[1]梦灵属性!$K$26,[1]梦灵属性!$K$56:$K$104,1)</f>
        <v>29</v>
      </c>
      <c r="AL166" s="350">
        <f>MATCH(_xlfn.XLOOKUP(N166,[1]梦灵本体产出!$D$30:$D$38,[1]梦灵本体产出!$K$30:$K$38)*T166*10/[1]梦灵属性!$K$26,[1]梦灵属性!$K$56:$K$104,1)</f>
        <v>32</v>
      </c>
      <c r="AM166" s="351"/>
      <c r="AN166" s="266">
        <v>22</v>
      </c>
      <c r="AO166" s="350">
        <f>MATCH(_xlfn.XLOOKUP(K166,[1]梦灵本体产出!$D$30:$D$38,[1]梦灵本体产出!$L$30:$L$38)*Q166*10/[1]梦灵属性!$K$26,[1]梦灵属性!$K$56:$K$104,1)</f>
        <v>14</v>
      </c>
      <c r="AP166" s="350">
        <f>MATCH(_xlfn.XLOOKUP(L166,[1]梦灵本体产出!$D$30:$D$38,[1]梦灵本体产出!$L$30:$L$38)*R166*10/[1]梦灵属性!$K$26,[1]梦灵属性!$K$56:$K$104,1)</f>
        <v>17</v>
      </c>
      <c r="AQ166" s="350">
        <f>MATCH(_xlfn.XLOOKUP(M166,[1]梦灵本体产出!$D$30:$D$38,[1]梦灵本体产出!$L$30:$L$38)*S166*10/[1]梦灵属性!$K$26,[1]梦灵属性!$K$56:$K$104,1)</f>
        <v>20</v>
      </c>
      <c r="AR166" s="350">
        <f>MATCH(_xlfn.XLOOKUP(N166,[1]梦灵本体产出!$D$30:$D$38,[1]梦灵本体产出!$L$30:$L$38)*T166*10/[1]梦灵属性!$K$26,[1]梦灵属性!$K$56:$K$104,1)</f>
        <v>25</v>
      </c>
      <c r="AS166" s="351"/>
      <c r="AT166" s="266">
        <v>22</v>
      </c>
      <c r="AU166" s="350">
        <f>IFERROR(MATCH(_xlfn.XLOOKUP(K166,[1]梦灵本体产出!$D$30:$D$38,[1]梦灵本体产出!$M$30:$M$38)*Q166*10/[1]梦灵属性!$K$26,[1]梦灵属性!$K$56:$K$104,1),0)</f>
        <v>0</v>
      </c>
      <c r="AV166" s="350">
        <f>IFERROR(MATCH(_xlfn.XLOOKUP(L166,[1]梦灵本体产出!$D$30:$D$38,[1]梦灵本体产出!$M$30:$M$38)*R166*10/[1]梦灵属性!$K$26,[1]梦灵属性!$K$56:$K$104,1),0)</f>
        <v>9</v>
      </c>
      <c r="AW166" s="350">
        <f>IFERROR(MATCH(_xlfn.XLOOKUP(M166,[1]梦灵本体产出!$D$30:$D$38,[1]梦灵本体产出!$M$30:$M$38)*S166*10/[1]梦灵属性!$K$26,[1]梦灵属性!$K$56:$K$104,1),0)</f>
        <v>10</v>
      </c>
      <c r="AX166" s="350">
        <f>IFERROR(MATCH(_xlfn.XLOOKUP(N166,[1]梦灵本体产出!$D$30:$D$38,[1]梦灵本体产出!$M$30:$M$38)*T166*10/[1]梦灵属性!$K$26,[1]梦灵属性!$K$56:$K$104,1),0)</f>
        <v>14</v>
      </c>
      <c r="AZ166" s="80">
        <f t="shared" si="12"/>
        <v>523.2</v>
      </c>
    </row>
    <row r="167" outlineLevel="1" spans="3:52">
      <c r="C167" s="80" t="s">
        <v>449</v>
      </c>
      <c r="D167" s="19">
        <v>23</v>
      </c>
      <c r="E167" s="19" t="s">
        <v>443</v>
      </c>
      <c r="F167" s="19" t="s">
        <v>443</v>
      </c>
      <c r="G167" s="19" t="s">
        <v>446</v>
      </c>
      <c r="H167" s="19" t="s">
        <v>448</v>
      </c>
      <c r="J167" s="19">
        <v>23</v>
      </c>
      <c r="K167" s="19">
        <v>4</v>
      </c>
      <c r="L167" s="19">
        <v>4</v>
      </c>
      <c r="M167" s="19">
        <v>4</v>
      </c>
      <c r="N167" s="19">
        <v>5</v>
      </c>
      <c r="P167" s="19">
        <v>23</v>
      </c>
      <c r="Q167" s="266">
        <v>3301.74285714285</v>
      </c>
      <c r="R167" s="266">
        <v>4031.40952380952</v>
      </c>
      <c r="S167" s="266">
        <v>6083.17142857144</v>
      </c>
      <c r="T167" s="266">
        <v>7776.46428571428</v>
      </c>
      <c r="V167" s="19">
        <v>23</v>
      </c>
      <c r="W167" s="350">
        <f t="shared" si="17"/>
        <v>23100</v>
      </c>
      <c r="X167" s="350">
        <f t="shared" si="18"/>
        <v>30030</v>
      </c>
      <c r="Y167" s="350">
        <f t="shared" si="19"/>
        <v>48048</v>
      </c>
      <c r="Z167" s="350">
        <f t="shared" si="20"/>
        <v>63525</v>
      </c>
      <c r="AB167" s="19">
        <v>23</v>
      </c>
      <c r="AC167" s="350">
        <f>MATCH(_xlfn.XLOOKUP(K167,[1]梦灵本体产出!$D$30:$D$38,[1]梦灵本体产出!$J$30:$J$38)*Q167*10/[1]梦灵属性!$K$26,[1]梦灵属性!$K$56:$K$104,1)</f>
        <v>29</v>
      </c>
      <c r="AD167" s="350">
        <f>MATCH(_xlfn.XLOOKUP(L167,[1]梦灵本体产出!$D$30:$D$38,[1]梦灵本体产出!$J$30:$J$38)*R167*10/[1]梦灵属性!$K$26,[1]梦灵属性!$K$56:$K$104,1)</f>
        <v>30</v>
      </c>
      <c r="AE167" s="350">
        <f>MATCH(_xlfn.XLOOKUP(M167,[1]梦灵本体产出!$D$30:$D$38,[1]梦灵本体产出!$J$30:$J$38)*S167*10/[1]梦灵属性!$K$26,[1]梦灵属性!$K$56:$K$104,1)</f>
        <v>34</v>
      </c>
      <c r="AF167" s="350">
        <f>MATCH(_xlfn.XLOOKUP(N167,[1]梦灵本体产出!$D$30:$D$38,[1]梦灵本体产出!$J$30:$J$38)*T167*10/[1]梦灵属性!$K$26,[1]梦灵属性!$K$56:$K$104,1)</f>
        <v>34</v>
      </c>
      <c r="AG167" s="351"/>
      <c r="AH167" s="266">
        <v>23</v>
      </c>
      <c r="AI167" s="350">
        <f>MATCH(_xlfn.XLOOKUP(K167,[1]梦灵本体产出!$D$30:$D$38,[1]梦灵本体产出!$K$30:$K$38)*Q167*10/[1]梦灵属性!$K$26,[1]梦灵属性!$K$56:$K$104,1)</f>
        <v>24</v>
      </c>
      <c r="AJ167" s="350">
        <f>MATCH(_xlfn.XLOOKUP(L167,[1]梦灵本体产出!$D$30:$D$38,[1]梦灵本体产出!$K$30:$K$38)*R167*10/[1]梦灵属性!$K$26,[1]梦灵属性!$K$56:$K$104,1)</f>
        <v>26</v>
      </c>
      <c r="AK167" s="350">
        <f>MATCH(_xlfn.XLOOKUP(M167,[1]梦灵本体产出!$D$30:$D$38,[1]梦灵本体产出!$K$30:$K$38)*S167*10/[1]梦灵属性!$K$26,[1]梦灵属性!$K$56:$K$104,1)</f>
        <v>30</v>
      </c>
      <c r="AL167" s="350">
        <f>MATCH(_xlfn.XLOOKUP(N167,[1]梦灵本体产出!$D$30:$D$38,[1]梦灵本体产出!$K$30:$K$38)*T167*10/[1]梦灵属性!$K$26,[1]梦灵属性!$K$56:$K$104,1)</f>
        <v>33</v>
      </c>
      <c r="AM167" s="351"/>
      <c r="AN167" s="266">
        <v>23</v>
      </c>
      <c r="AO167" s="350">
        <f>MATCH(_xlfn.XLOOKUP(K167,[1]梦灵本体产出!$D$30:$D$38,[1]梦灵本体产出!$L$30:$L$38)*Q167*10/[1]梦灵属性!$K$26,[1]梦灵属性!$K$56:$K$104,1)</f>
        <v>15</v>
      </c>
      <c r="AP167" s="350">
        <f>MATCH(_xlfn.XLOOKUP(L167,[1]梦灵本体产出!$D$30:$D$38,[1]梦灵本体产出!$L$30:$L$38)*R167*10/[1]梦灵属性!$K$26,[1]梦灵属性!$K$56:$K$104,1)</f>
        <v>17</v>
      </c>
      <c r="AQ167" s="350">
        <f>MATCH(_xlfn.XLOOKUP(M167,[1]梦灵本体产出!$D$30:$D$38,[1]梦灵本体产出!$L$30:$L$38)*S167*10/[1]梦灵属性!$K$26,[1]梦灵属性!$K$56:$K$104,1)</f>
        <v>21</v>
      </c>
      <c r="AR167" s="350">
        <f>MATCH(_xlfn.XLOOKUP(N167,[1]梦灵本体产出!$D$30:$D$38,[1]梦灵本体产出!$L$30:$L$38)*T167*10/[1]梦灵属性!$K$26,[1]梦灵属性!$K$56:$K$104,1)</f>
        <v>26</v>
      </c>
      <c r="AS167" s="351"/>
      <c r="AT167" s="266">
        <v>23</v>
      </c>
      <c r="AU167" s="350">
        <f>IFERROR(MATCH(_xlfn.XLOOKUP(K167,[1]梦灵本体产出!$D$30:$D$38,[1]梦灵本体产出!$M$30:$M$38)*Q167*10/[1]梦灵属性!$K$26,[1]梦灵属性!$K$56:$K$104,1),0)</f>
        <v>8</v>
      </c>
      <c r="AV167" s="350">
        <f>IFERROR(MATCH(_xlfn.XLOOKUP(L167,[1]梦灵本体产出!$D$30:$D$38,[1]梦灵本体产出!$M$30:$M$38)*R167*10/[1]梦灵属性!$K$26,[1]梦灵属性!$K$56:$K$104,1),0)</f>
        <v>9</v>
      </c>
      <c r="AW167" s="350">
        <f>IFERROR(MATCH(_xlfn.XLOOKUP(M167,[1]梦灵本体产出!$D$30:$D$38,[1]梦灵本体产出!$M$30:$M$38)*S167*10/[1]梦灵属性!$K$26,[1]梦灵属性!$K$56:$K$104,1),0)</f>
        <v>11</v>
      </c>
      <c r="AX167" s="350">
        <f>IFERROR(MATCH(_xlfn.XLOOKUP(N167,[1]梦灵本体产出!$D$30:$D$38,[1]梦灵本体产出!$M$30:$M$38)*T167*10/[1]梦灵属性!$K$26,[1]梦灵属性!$K$56:$K$104,1),0)</f>
        <v>15</v>
      </c>
      <c r="AZ167" s="80">
        <f t="shared" si="12"/>
        <v>612.6</v>
      </c>
    </row>
    <row r="168" outlineLevel="1" spans="3:52">
      <c r="C168" s="80" t="s">
        <v>449</v>
      </c>
      <c r="D168" s="19">
        <v>24</v>
      </c>
      <c r="E168" s="19" t="s">
        <v>443</v>
      </c>
      <c r="F168" s="19" t="s">
        <v>443</v>
      </c>
      <c r="G168" s="19" t="s">
        <v>446</v>
      </c>
      <c r="H168" s="19" t="s">
        <v>448</v>
      </c>
      <c r="J168" s="19">
        <v>24</v>
      </c>
      <c r="K168" s="19">
        <v>4</v>
      </c>
      <c r="L168" s="19">
        <v>4</v>
      </c>
      <c r="M168" s="19">
        <v>5</v>
      </c>
      <c r="N168" s="19">
        <v>5</v>
      </c>
      <c r="P168" s="19">
        <v>24</v>
      </c>
      <c r="Q168" s="266">
        <v>3415.51428571428</v>
      </c>
      <c r="R168" s="266">
        <v>4174.51428571428</v>
      </c>
      <c r="S168" s="266">
        <v>6311.65714285715</v>
      </c>
      <c r="T168" s="266">
        <v>8078.57142857143</v>
      </c>
      <c r="V168" s="19">
        <v>24</v>
      </c>
      <c r="W168" s="350">
        <f t="shared" si="17"/>
        <v>23100</v>
      </c>
      <c r="X168" s="350">
        <f t="shared" si="18"/>
        <v>30030</v>
      </c>
      <c r="Y168" s="350">
        <f t="shared" si="19"/>
        <v>48048</v>
      </c>
      <c r="Z168" s="350">
        <f t="shared" si="20"/>
        <v>63525</v>
      </c>
      <c r="AB168" s="19">
        <v>24</v>
      </c>
      <c r="AC168" s="350">
        <f>MATCH(_xlfn.XLOOKUP(K168,[1]梦灵本体产出!$D$30:$D$38,[1]梦灵本体产出!$J$30:$J$38)*Q168*10/[1]梦灵属性!$K$26,[1]梦灵属性!$K$56:$K$104,1)</f>
        <v>29</v>
      </c>
      <c r="AD168" s="350">
        <f>MATCH(_xlfn.XLOOKUP(L168,[1]梦灵本体产出!$D$30:$D$38,[1]梦灵本体产出!$J$30:$J$38)*R168*10/[1]梦灵属性!$K$26,[1]梦灵属性!$K$56:$K$104,1)</f>
        <v>30</v>
      </c>
      <c r="AE168" s="350">
        <f>MATCH(_xlfn.XLOOKUP(M168,[1]梦灵本体产出!$D$30:$D$38,[1]梦灵本体产出!$J$30:$J$38)*S168*10/[1]梦灵属性!$K$26,[1]梦灵属性!$K$56:$K$104,1)</f>
        <v>32</v>
      </c>
      <c r="AF168" s="350">
        <f>MATCH(_xlfn.XLOOKUP(N168,[1]梦灵本体产出!$D$30:$D$38,[1]梦灵本体产出!$J$30:$J$38)*T168*10/[1]梦灵属性!$K$26,[1]梦灵属性!$K$56:$K$104,1)</f>
        <v>34</v>
      </c>
      <c r="AG168" s="351"/>
      <c r="AH168" s="266">
        <v>24</v>
      </c>
      <c r="AI168" s="350">
        <f>MATCH(_xlfn.XLOOKUP(K168,[1]梦灵本体产出!$D$30:$D$38,[1]梦灵本体产出!$K$30:$K$38)*Q168*10/[1]梦灵属性!$K$26,[1]梦灵属性!$K$56:$K$104,1)</f>
        <v>25</v>
      </c>
      <c r="AJ168" s="350">
        <f>MATCH(_xlfn.XLOOKUP(L168,[1]梦灵本体产出!$D$30:$D$38,[1]梦灵本体产出!$K$30:$K$38)*R168*10/[1]梦灵属性!$K$26,[1]梦灵属性!$K$56:$K$104,1)</f>
        <v>26</v>
      </c>
      <c r="AK168" s="350">
        <f>MATCH(_xlfn.XLOOKUP(M168,[1]梦灵本体产出!$D$30:$D$38,[1]梦灵本体产出!$K$30:$K$38)*S168*10/[1]梦灵属性!$K$26,[1]梦灵属性!$K$56:$K$104,1)</f>
        <v>31</v>
      </c>
      <c r="AL168" s="350">
        <f>MATCH(_xlfn.XLOOKUP(N168,[1]梦灵本体产出!$D$30:$D$38,[1]梦灵本体产出!$K$30:$K$38)*T168*10/[1]梦灵属性!$K$26,[1]梦灵属性!$K$56:$K$104,1)</f>
        <v>33</v>
      </c>
      <c r="AM168" s="351"/>
      <c r="AN168" s="266">
        <v>24</v>
      </c>
      <c r="AO168" s="350">
        <f>MATCH(_xlfn.XLOOKUP(K168,[1]梦灵本体产出!$D$30:$D$38,[1]梦灵本体产出!$L$30:$L$38)*Q168*10/[1]梦灵属性!$K$26,[1]梦灵属性!$K$56:$K$104,1)</f>
        <v>16</v>
      </c>
      <c r="AP168" s="350">
        <f>MATCH(_xlfn.XLOOKUP(L168,[1]梦灵本体产出!$D$30:$D$38,[1]梦灵本体产出!$L$30:$L$38)*R168*10/[1]梦灵属性!$K$26,[1]梦灵属性!$K$56:$K$104,1)</f>
        <v>17</v>
      </c>
      <c r="AQ168" s="350">
        <f>MATCH(_xlfn.XLOOKUP(M168,[1]梦灵本体产出!$D$30:$D$38,[1]梦灵本体产出!$L$30:$L$38)*S168*10/[1]梦灵属性!$K$26,[1]梦灵属性!$K$56:$K$104,1)</f>
        <v>24</v>
      </c>
      <c r="AR168" s="350">
        <f>MATCH(_xlfn.XLOOKUP(N168,[1]梦灵本体产出!$D$30:$D$38,[1]梦灵本体产出!$L$30:$L$38)*T168*10/[1]梦灵属性!$K$26,[1]梦灵属性!$K$56:$K$104,1)</f>
        <v>26</v>
      </c>
      <c r="AS168" s="351"/>
      <c r="AT168" s="266">
        <v>24</v>
      </c>
      <c r="AU168" s="350">
        <f>IFERROR(MATCH(_xlfn.XLOOKUP(K168,[1]梦灵本体产出!$D$30:$D$38,[1]梦灵本体产出!$M$30:$M$38)*Q168*10/[1]梦灵属性!$K$26,[1]梦灵属性!$K$56:$K$104,1),0)</f>
        <v>8</v>
      </c>
      <c r="AV168" s="350">
        <f>IFERROR(MATCH(_xlfn.XLOOKUP(L168,[1]梦灵本体产出!$D$30:$D$38,[1]梦灵本体产出!$M$30:$M$38)*R168*10/[1]梦灵属性!$K$26,[1]梦灵属性!$K$56:$K$104,1),0)</f>
        <v>9</v>
      </c>
      <c r="AW168" s="350">
        <f>IFERROR(MATCH(_xlfn.XLOOKUP(M168,[1]梦灵本体产出!$D$30:$D$38,[1]梦灵本体产出!$M$30:$M$38)*S168*10/[1]梦灵属性!$K$26,[1]梦灵属性!$K$56:$K$104,1),0)</f>
        <v>13</v>
      </c>
      <c r="AX168" s="350">
        <f>IFERROR(MATCH(_xlfn.XLOOKUP(N168,[1]梦灵本体产出!$D$30:$D$38,[1]梦灵本体产出!$M$30:$M$38)*T168*10/[1]梦灵属性!$K$26,[1]梦灵属性!$K$56:$K$104,1),0)</f>
        <v>15</v>
      </c>
      <c r="AZ168" s="80">
        <f t="shared" si="12"/>
        <v>628.2</v>
      </c>
    </row>
    <row r="169" outlineLevel="1" spans="3:52">
      <c r="C169" s="80" t="s">
        <v>449</v>
      </c>
      <c r="D169" s="19">
        <v>25</v>
      </c>
      <c r="E169" s="19" t="s">
        <v>443</v>
      </c>
      <c r="F169" s="19" t="s">
        <v>445</v>
      </c>
      <c r="G169" s="19" t="s">
        <v>447</v>
      </c>
      <c r="H169" s="19" t="s">
        <v>448</v>
      </c>
      <c r="J169" s="19">
        <v>25</v>
      </c>
      <c r="K169" s="19">
        <v>4</v>
      </c>
      <c r="L169" s="19">
        <v>4</v>
      </c>
      <c r="M169" s="19">
        <v>5</v>
      </c>
      <c r="N169" s="19">
        <v>5</v>
      </c>
      <c r="P169" s="19">
        <v>25</v>
      </c>
      <c r="Q169" s="266">
        <v>3529.2857142857</v>
      </c>
      <c r="R169" s="266">
        <v>4317.61904761904</v>
      </c>
      <c r="S169" s="266">
        <v>6540.14285714287</v>
      </c>
      <c r="T169" s="266">
        <v>8380.67857142857</v>
      </c>
      <c r="V169" s="19">
        <v>25</v>
      </c>
      <c r="W169" s="350">
        <f t="shared" si="17"/>
        <v>23100</v>
      </c>
      <c r="X169" s="350">
        <f t="shared" si="18"/>
        <v>30030</v>
      </c>
      <c r="Y169" s="350">
        <f t="shared" si="19"/>
        <v>48048</v>
      </c>
      <c r="Z169" s="350">
        <f t="shared" si="20"/>
        <v>63525</v>
      </c>
      <c r="AB169" s="19">
        <v>25</v>
      </c>
      <c r="AC169" s="350">
        <f>MATCH(_xlfn.XLOOKUP(K169,[1]梦灵本体产出!$D$30:$D$38,[1]梦灵本体产出!$J$30:$J$38)*Q169*10/[1]梦灵属性!$K$26,[1]梦灵属性!$K$56:$K$104,1)</f>
        <v>29</v>
      </c>
      <c r="AD169" s="350">
        <f>MATCH(_xlfn.XLOOKUP(L169,[1]梦灵本体产出!$D$30:$D$38,[1]梦灵本体产出!$J$30:$J$38)*R169*10/[1]梦灵属性!$K$26,[1]梦灵属性!$K$56:$K$104,1)</f>
        <v>31</v>
      </c>
      <c r="AE169" s="350">
        <f>MATCH(_xlfn.XLOOKUP(M169,[1]梦灵本体产出!$D$30:$D$38,[1]梦灵本体产出!$J$30:$J$38)*S169*10/[1]梦灵属性!$K$26,[1]梦灵属性!$K$56:$K$104,1)</f>
        <v>33</v>
      </c>
      <c r="AF169" s="350">
        <f>MATCH(_xlfn.XLOOKUP(N169,[1]梦灵本体产出!$D$30:$D$38,[1]梦灵本体产出!$J$30:$J$38)*T169*10/[1]梦灵属性!$K$26,[1]梦灵属性!$K$56:$K$104,1)</f>
        <v>35</v>
      </c>
      <c r="AG169" s="351"/>
      <c r="AH169" s="266">
        <v>25</v>
      </c>
      <c r="AI169" s="350">
        <f>MATCH(_xlfn.XLOOKUP(K169,[1]梦灵本体产出!$D$30:$D$38,[1]梦灵本体产出!$K$30:$K$38)*Q169*10/[1]梦灵属性!$K$26,[1]梦灵属性!$K$56:$K$104,1)</f>
        <v>25</v>
      </c>
      <c r="AJ169" s="350">
        <f>MATCH(_xlfn.XLOOKUP(L169,[1]梦灵本体产出!$D$30:$D$38,[1]梦灵本体产出!$K$30:$K$38)*R169*10/[1]梦灵属性!$K$26,[1]梦灵属性!$K$56:$K$104,1)</f>
        <v>27</v>
      </c>
      <c r="AK169" s="350">
        <f>MATCH(_xlfn.XLOOKUP(M169,[1]梦灵本体产出!$D$30:$D$38,[1]梦灵本体产出!$K$30:$K$38)*S169*10/[1]梦灵属性!$K$26,[1]梦灵属性!$K$56:$K$104,1)</f>
        <v>31</v>
      </c>
      <c r="AL169" s="350">
        <f>MATCH(_xlfn.XLOOKUP(N169,[1]梦灵本体产出!$D$30:$D$38,[1]梦灵本体产出!$K$30:$K$38)*T169*10/[1]梦灵属性!$K$26,[1]梦灵属性!$K$56:$K$104,1)</f>
        <v>33</v>
      </c>
      <c r="AM169" s="351"/>
      <c r="AN169" s="266">
        <v>25</v>
      </c>
      <c r="AO169" s="350">
        <f>MATCH(_xlfn.XLOOKUP(K169,[1]梦灵本体产出!$D$30:$D$38,[1]梦灵本体产出!$L$30:$L$38)*Q169*10/[1]梦灵属性!$K$26,[1]梦灵属性!$K$56:$K$104,1)</f>
        <v>16</v>
      </c>
      <c r="AP169" s="350">
        <f>MATCH(_xlfn.XLOOKUP(L169,[1]梦灵本体产出!$D$30:$D$38,[1]梦灵本体产出!$L$30:$L$38)*R169*10/[1]梦灵属性!$K$26,[1]梦灵属性!$K$56:$K$104,1)</f>
        <v>18</v>
      </c>
      <c r="AQ169" s="350">
        <f>MATCH(_xlfn.XLOOKUP(M169,[1]梦灵本体产出!$D$30:$D$38,[1]梦灵本体产出!$L$30:$L$38)*S169*10/[1]梦灵属性!$K$26,[1]梦灵属性!$K$56:$K$104,1)</f>
        <v>24</v>
      </c>
      <c r="AR169" s="350">
        <f>MATCH(_xlfn.XLOOKUP(N169,[1]梦灵本体产出!$D$30:$D$38,[1]梦灵本体产出!$L$30:$L$38)*T169*10/[1]梦灵属性!$K$26,[1]梦灵属性!$K$56:$K$104,1)</f>
        <v>26</v>
      </c>
      <c r="AS169" s="351"/>
      <c r="AT169" s="266">
        <v>25</v>
      </c>
      <c r="AU169" s="350">
        <f>IFERROR(MATCH(_xlfn.XLOOKUP(K169,[1]梦灵本体产出!$D$30:$D$38,[1]梦灵本体产出!$M$30:$M$38)*Q169*10/[1]梦灵属性!$K$26,[1]梦灵属性!$K$56:$K$104,1),0)</f>
        <v>8</v>
      </c>
      <c r="AV169" s="350">
        <f>IFERROR(MATCH(_xlfn.XLOOKUP(L169,[1]梦灵本体产出!$D$30:$D$38,[1]梦灵本体产出!$M$30:$M$38)*R169*10/[1]梦灵属性!$K$26,[1]梦灵属性!$K$56:$K$104,1),0)</f>
        <v>9</v>
      </c>
      <c r="AW169" s="350">
        <f>IFERROR(MATCH(_xlfn.XLOOKUP(M169,[1]梦灵本体产出!$D$30:$D$38,[1]梦灵本体产出!$M$30:$M$38)*S169*10/[1]梦灵属性!$K$26,[1]梦灵属性!$K$56:$K$104,1),0)</f>
        <v>14</v>
      </c>
      <c r="AX169" s="350">
        <f>IFERROR(MATCH(_xlfn.XLOOKUP(N169,[1]梦灵本体产出!$D$30:$D$38,[1]梦灵本体产出!$M$30:$M$38)*T169*10/[1]梦灵属性!$K$26,[1]梦灵属性!$K$56:$K$104,1),0)</f>
        <v>15</v>
      </c>
      <c r="AZ169" s="80">
        <f t="shared" si="12"/>
        <v>628.2</v>
      </c>
    </row>
    <row r="170" outlineLevel="1" spans="3:52">
      <c r="C170" s="80" t="s">
        <v>449</v>
      </c>
      <c r="D170" s="19">
        <v>26</v>
      </c>
      <c r="E170" s="19" t="s">
        <v>443</v>
      </c>
      <c r="F170" s="19" t="s">
        <v>445</v>
      </c>
      <c r="G170" s="19" t="s">
        <v>447</v>
      </c>
      <c r="H170" s="19" t="s">
        <v>448</v>
      </c>
      <c r="J170" s="19">
        <v>26</v>
      </c>
      <c r="K170" s="19">
        <v>4</v>
      </c>
      <c r="L170" s="19">
        <v>4</v>
      </c>
      <c r="M170" s="19">
        <v>5</v>
      </c>
      <c r="N170" s="19">
        <v>5</v>
      </c>
      <c r="P170" s="19">
        <v>26</v>
      </c>
      <c r="Q170" s="266">
        <v>3643.05714285713</v>
      </c>
      <c r="R170" s="266">
        <v>4460.72380952381</v>
      </c>
      <c r="S170" s="266">
        <v>6768.62857142858</v>
      </c>
      <c r="T170" s="266">
        <v>8682.78571428571</v>
      </c>
      <c r="V170" s="19">
        <v>26</v>
      </c>
      <c r="W170" s="350">
        <f t="shared" si="17"/>
        <v>23100</v>
      </c>
      <c r="X170" s="350">
        <f t="shared" si="18"/>
        <v>30030</v>
      </c>
      <c r="Y170" s="350">
        <f t="shared" si="19"/>
        <v>48048</v>
      </c>
      <c r="Z170" s="350">
        <f t="shared" si="20"/>
        <v>63525</v>
      </c>
      <c r="AB170" s="19">
        <v>26</v>
      </c>
      <c r="AC170" s="350">
        <f>MATCH(_xlfn.XLOOKUP(K170,[1]梦灵本体产出!$D$30:$D$38,[1]梦灵本体产出!$J$30:$J$38)*Q170*10/[1]梦灵属性!$K$26,[1]梦灵属性!$K$56:$K$104,1)</f>
        <v>29</v>
      </c>
      <c r="AD170" s="350">
        <f>MATCH(_xlfn.XLOOKUP(L170,[1]梦灵本体产出!$D$30:$D$38,[1]梦灵本体产出!$J$30:$J$38)*R170*10/[1]梦灵属性!$K$26,[1]梦灵属性!$K$56:$K$104,1)</f>
        <v>31</v>
      </c>
      <c r="AE170" s="350">
        <f>MATCH(_xlfn.XLOOKUP(M170,[1]梦灵本体产出!$D$30:$D$38,[1]梦灵本体产出!$J$30:$J$38)*S170*10/[1]梦灵属性!$K$26,[1]梦灵属性!$K$56:$K$104,1)</f>
        <v>33</v>
      </c>
      <c r="AF170" s="350">
        <f>MATCH(_xlfn.XLOOKUP(N170,[1]梦灵本体产出!$D$30:$D$38,[1]梦灵本体产出!$J$30:$J$38)*T170*10/[1]梦灵属性!$K$26,[1]梦灵属性!$K$56:$K$104,1)</f>
        <v>35</v>
      </c>
      <c r="AG170" s="351"/>
      <c r="AH170" s="266">
        <v>26</v>
      </c>
      <c r="AI170" s="350">
        <f>MATCH(_xlfn.XLOOKUP(K170,[1]梦灵本体产出!$D$30:$D$38,[1]梦灵本体产出!$K$30:$K$38)*Q170*10/[1]梦灵属性!$K$26,[1]梦灵属性!$K$56:$K$104,1)</f>
        <v>25</v>
      </c>
      <c r="AJ170" s="350">
        <f>MATCH(_xlfn.XLOOKUP(L170,[1]梦灵本体产出!$D$30:$D$38,[1]梦灵本体产出!$K$30:$K$38)*R170*10/[1]梦灵属性!$K$26,[1]梦灵属性!$K$56:$K$104,1)</f>
        <v>27</v>
      </c>
      <c r="AK170" s="350">
        <f>MATCH(_xlfn.XLOOKUP(M170,[1]梦灵本体产出!$D$30:$D$38,[1]梦灵本体产出!$K$30:$K$38)*S170*10/[1]梦灵属性!$K$26,[1]梦灵属性!$K$56:$K$104,1)</f>
        <v>31</v>
      </c>
      <c r="AL170" s="350">
        <f>MATCH(_xlfn.XLOOKUP(N170,[1]梦灵本体产出!$D$30:$D$38,[1]梦灵本体产出!$K$30:$K$38)*T170*10/[1]梦灵属性!$K$26,[1]梦灵属性!$K$56:$K$104,1)</f>
        <v>34</v>
      </c>
      <c r="AM170" s="351"/>
      <c r="AN170" s="266">
        <v>26</v>
      </c>
      <c r="AO170" s="350">
        <f>MATCH(_xlfn.XLOOKUP(K170,[1]梦灵本体产出!$D$30:$D$38,[1]梦灵本体产出!$L$30:$L$38)*Q170*10/[1]梦灵属性!$K$26,[1]梦灵属性!$K$56:$K$104,1)</f>
        <v>16</v>
      </c>
      <c r="AP170" s="350">
        <f>MATCH(_xlfn.XLOOKUP(L170,[1]梦灵本体产出!$D$30:$D$38,[1]梦灵本体产出!$L$30:$L$38)*R170*10/[1]梦灵属性!$K$26,[1]梦灵属性!$K$56:$K$104,1)</f>
        <v>18</v>
      </c>
      <c r="AQ170" s="350">
        <f>MATCH(_xlfn.XLOOKUP(M170,[1]梦灵本体产出!$D$30:$D$38,[1]梦灵本体产出!$L$30:$L$38)*S170*10/[1]梦灵属性!$K$26,[1]梦灵属性!$K$56:$K$104,1)</f>
        <v>25</v>
      </c>
      <c r="AR170" s="350">
        <f>MATCH(_xlfn.XLOOKUP(N170,[1]梦灵本体产出!$D$30:$D$38,[1]梦灵本体产出!$L$30:$L$38)*T170*10/[1]梦灵属性!$K$26,[1]梦灵属性!$K$56:$K$104,1)</f>
        <v>27</v>
      </c>
      <c r="AS170" s="351"/>
      <c r="AT170" s="266">
        <v>26</v>
      </c>
      <c r="AU170" s="350">
        <f>IFERROR(MATCH(_xlfn.XLOOKUP(K170,[1]梦灵本体产出!$D$30:$D$38,[1]梦灵本体产出!$M$30:$M$38)*Q170*10/[1]梦灵属性!$K$26,[1]梦灵属性!$K$56:$K$104,1),0)</f>
        <v>9</v>
      </c>
      <c r="AV170" s="350">
        <f>IFERROR(MATCH(_xlfn.XLOOKUP(L170,[1]梦灵本体产出!$D$30:$D$38,[1]梦灵本体产出!$M$30:$M$38)*R170*10/[1]梦灵属性!$K$26,[1]梦灵属性!$K$56:$K$104,1),0)</f>
        <v>9</v>
      </c>
      <c r="AW170" s="350">
        <f>IFERROR(MATCH(_xlfn.XLOOKUP(M170,[1]梦灵本体产出!$D$30:$D$38,[1]梦灵本体产出!$M$30:$M$38)*S170*10/[1]梦灵属性!$K$26,[1]梦灵属性!$K$56:$K$104,1),0)</f>
        <v>14</v>
      </c>
      <c r="AX170" s="350">
        <f>IFERROR(MATCH(_xlfn.XLOOKUP(N170,[1]梦灵本体产出!$D$30:$D$38,[1]梦灵本体产出!$M$30:$M$38)*T170*10/[1]梦灵属性!$K$26,[1]梦灵属性!$K$56:$K$104,1),0)</f>
        <v>15</v>
      </c>
      <c r="AZ170" s="80">
        <f t="shared" si="12"/>
        <v>637.8</v>
      </c>
    </row>
    <row r="171" outlineLevel="1" spans="3:52">
      <c r="C171" s="80" t="s">
        <v>449</v>
      </c>
      <c r="D171" s="19">
        <v>27</v>
      </c>
      <c r="E171" s="19" t="s">
        <v>443</v>
      </c>
      <c r="F171" s="19" t="s">
        <v>445</v>
      </c>
      <c r="G171" s="19" t="s">
        <v>447</v>
      </c>
      <c r="H171" s="19" t="s">
        <v>448</v>
      </c>
      <c r="J171" s="19">
        <v>27</v>
      </c>
      <c r="K171" s="19">
        <v>4</v>
      </c>
      <c r="L171" s="19">
        <v>4</v>
      </c>
      <c r="M171" s="19">
        <v>5</v>
      </c>
      <c r="N171" s="19">
        <v>5</v>
      </c>
      <c r="P171" s="19">
        <v>27</v>
      </c>
      <c r="Q171" s="266">
        <v>3756.82857142856</v>
      </c>
      <c r="R171" s="266">
        <v>4603.82857142857</v>
      </c>
      <c r="S171" s="266">
        <v>6997.11428571429</v>
      </c>
      <c r="T171" s="266">
        <v>8984.89285714285</v>
      </c>
      <c r="V171" s="19">
        <v>27</v>
      </c>
      <c r="W171" s="350">
        <f t="shared" si="17"/>
        <v>23100</v>
      </c>
      <c r="X171" s="350">
        <f t="shared" si="18"/>
        <v>30030</v>
      </c>
      <c r="Y171" s="350">
        <f t="shared" si="19"/>
        <v>48048</v>
      </c>
      <c r="Z171" s="350">
        <f t="shared" si="20"/>
        <v>63525</v>
      </c>
      <c r="AB171" s="19">
        <v>27</v>
      </c>
      <c r="AC171" s="350">
        <f>MATCH(_xlfn.XLOOKUP(K171,[1]梦灵本体产出!$D$30:$D$38,[1]梦灵本体产出!$J$30:$J$38)*Q171*10/[1]梦灵属性!$K$26,[1]梦灵属性!$K$56:$K$104,1)</f>
        <v>30</v>
      </c>
      <c r="AD171" s="350">
        <f>MATCH(_xlfn.XLOOKUP(L171,[1]梦灵本体产出!$D$30:$D$38,[1]梦灵本体产出!$J$30:$J$38)*R171*10/[1]梦灵属性!$K$26,[1]梦灵属性!$K$56:$K$104,1)</f>
        <v>31</v>
      </c>
      <c r="AE171" s="350">
        <f>MATCH(_xlfn.XLOOKUP(M171,[1]梦灵本体产出!$D$30:$D$38,[1]梦灵本体产出!$J$30:$J$38)*S171*10/[1]梦灵属性!$K$26,[1]梦灵属性!$K$56:$K$104,1)</f>
        <v>33</v>
      </c>
      <c r="AF171" s="350">
        <f>MATCH(_xlfn.XLOOKUP(N171,[1]梦灵本体产出!$D$30:$D$38,[1]梦灵本体产出!$J$30:$J$38)*T171*10/[1]梦灵属性!$K$26,[1]梦灵属性!$K$56:$K$104,1)</f>
        <v>35</v>
      </c>
      <c r="AG171" s="351"/>
      <c r="AH171" s="266">
        <v>27</v>
      </c>
      <c r="AI171" s="350">
        <f>MATCH(_xlfn.XLOOKUP(K171,[1]梦灵本体产出!$D$30:$D$38,[1]梦灵本体产出!$K$30:$K$38)*Q171*10/[1]梦灵属性!$K$26,[1]梦灵属性!$K$56:$K$104,1)</f>
        <v>25</v>
      </c>
      <c r="AJ171" s="350">
        <f>MATCH(_xlfn.XLOOKUP(L171,[1]梦灵本体产出!$D$30:$D$38,[1]梦灵本体产出!$K$30:$K$38)*R171*10/[1]梦灵属性!$K$26,[1]梦灵属性!$K$56:$K$104,1)</f>
        <v>27</v>
      </c>
      <c r="AK171" s="350">
        <f>MATCH(_xlfn.XLOOKUP(M171,[1]梦灵本体产出!$D$30:$D$38,[1]梦灵本体产出!$K$30:$K$38)*S171*10/[1]梦灵属性!$K$26,[1]梦灵属性!$K$56:$K$104,1)</f>
        <v>32</v>
      </c>
      <c r="AL171" s="350">
        <f>MATCH(_xlfn.XLOOKUP(N171,[1]梦灵本体产出!$D$30:$D$38,[1]梦灵本体产出!$K$30:$K$38)*T171*10/[1]梦灵属性!$K$26,[1]梦灵属性!$K$56:$K$104,1)</f>
        <v>34</v>
      </c>
      <c r="AM171" s="351"/>
      <c r="AN171" s="266">
        <v>27</v>
      </c>
      <c r="AO171" s="350">
        <f>MATCH(_xlfn.XLOOKUP(K171,[1]梦灵本体产出!$D$30:$D$38,[1]梦灵本体产出!$L$30:$L$38)*Q171*10/[1]梦灵属性!$K$26,[1]梦灵属性!$K$56:$K$104,1)</f>
        <v>16</v>
      </c>
      <c r="AP171" s="350">
        <f>MATCH(_xlfn.XLOOKUP(L171,[1]梦灵本体产出!$D$30:$D$38,[1]梦灵本体产出!$L$30:$L$38)*R171*10/[1]梦灵属性!$K$26,[1]梦灵属性!$K$56:$K$104,1)</f>
        <v>18</v>
      </c>
      <c r="AQ171" s="350">
        <f>MATCH(_xlfn.XLOOKUP(M171,[1]梦灵本体产出!$D$30:$D$38,[1]梦灵本体产出!$L$30:$L$38)*S171*10/[1]梦灵属性!$K$26,[1]梦灵属性!$K$56:$K$104,1)</f>
        <v>25</v>
      </c>
      <c r="AR171" s="350">
        <f>MATCH(_xlfn.XLOOKUP(N171,[1]梦灵本体产出!$D$30:$D$38,[1]梦灵本体产出!$L$30:$L$38)*T171*10/[1]梦灵属性!$K$26,[1]梦灵属性!$K$56:$K$104,1)</f>
        <v>27</v>
      </c>
      <c r="AS171" s="351"/>
      <c r="AT171" s="266">
        <v>27</v>
      </c>
      <c r="AU171" s="350">
        <f>IFERROR(MATCH(_xlfn.XLOOKUP(K171,[1]梦灵本体产出!$D$30:$D$38,[1]梦灵本体产出!$M$30:$M$38)*Q171*10/[1]梦灵属性!$K$26,[1]梦灵属性!$K$56:$K$104,1),0)</f>
        <v>9</v>
      </c>
      <c r="AV171" s="350">
        <f>IFERROR(MATCH(_xlfn.XLOOKUP(L171,[1]梦灵本体产出!$D$30:$D$38,[1]梦灵本体产出!$M$30:$M$38)*R171*10/[1]梦灵属性!$K$26,[1]梦灵属性!$K$56:$K$104,1),0)</f>
        <v>9</v>
      </c>
      <c r="AW171" s="350">
        <f>IFERROR(MATCH(_xlfn.XLOOKUP(M171,[1]梦灵本体产出!$D$30:$D$38,[1]梦灵本体产出!$M$30:$M$38)*S171*10/[1]梦灵属性!$K$26,[1]梦灵属性!$K$56:$K$104,1),0)</f>
        <v>14</v>
      </c>
      <c r="AX171" s="350">
        <f>IFERROR(MATCH(_xlfn.XLOOKUP(N171,[1]梦灵本体产出!$D$30:$D$38,[1]梦灵本体产出!$M$30:$M$38)*T171*10/[1]梦灵属性!$K$26,[1]梦灵属性!$K$56:$K$104,1),0)</f>
        <v>16</v>
      </c>
      <c r="AZ171" s="80">
        <f t="shared" si="12"/>
        <v>640.8</v>
      </c>
    </row>
    <row r="172" outlineLevel="1" spans="3:52">
      <c r="C172" s="80" t="s">
        <v>449</v>
      </c>
      <c r="D172" s="19">
        <v>28</v>
      </c>
      <c r="E172" s="19" t="s">
        <v>443</v>
      </c>
      <c r="F172" s="19" t="s">
        <v>445</v>
      </c>
      <c r="G172" s="19" t="s">
        <v>447</v>
      </c>
      <c r="H172" s="19" t="s">
        <v>448</v>
      </c>
      <c r="J172" s="19">
        <v>28</v>
      </c>
      <c r="K172" s="19">
        <v>4</v>
      </c>
      <c r="L172" s="19">
        <v>4</v>
      </c>
      <c r="M172" s="19">
        <v>5</v>
      </c>
      <c r="N172" s="19">
        <v>5</v>
      </c>
      <c r="P172" s="19">
        <v>28</v>
      </c>
      <c r="Q172" s="266">
        <v>3870.59999999999</v>
      </c>
      <c r="R172" s="266">
        <v>4746.93333333333</v>
      </c>
      <c r="S172" s="266">
        <v>7225.60000000001</v>
      </c>
      <c r="T172" s="266">
        <v>9287</v>
      </c>
      <c r="V172" s="19">
        <v>28</v>
      </c>
      <c r="W172" s="350">
        <f t="shared" si="17"/>
        <v>23100</v>
      </c>
      <c r="X172" s="350">
        <f t="shared" si="18"/>
        <v>30030</v>
      </c>
      <c r="Y172" s="350">
        <f t="shared" si="19"/>
        <v>48048</v>
      </c>
      <c r="Z172" s="350">
        <f t="shared" si="20"/>
        <v>63525</v>
      </c>
      <c r="AB172" s="19">
        <v>28</v>
      </c>
      <c r="AC172" s="350">
        <f>MATCH(_xlfn.XLOOKUP(K172,[1]梦灵本体产出!$D$30:$D$38,[1]梦灵本体产出!$J$30:$J$38)*Q172*10/[1]梦灵属性!$K$26,[1]梦灵属性!$K$56:$K$104,1)</f>
        <v>30</v>
      </c>
      <c r="AD172" s="350">
        <f>MATCH(_xlfn.XLOOKUP(L172,[1]梦灵本体产出!$D$30:$D$38,[1]梦灵本体产出!$J$30:$J$38)*R172*10/[1]梦灵属性!$K$26,[1]梦灵属性!$K$56:$K$104,1)</f>
        <v>32</v>
      </c>
      <c r="AE172" s="350">
        <f>MATCH(_xlfn.XLOOKUP(M172,[1]梦灵本体产出!$D$30:$D$38,[1]梦灵本体产出!$J$30:$J$38)*S172*10/[1]梦灵属性!$K$26,[1]梦灵属性!$K$56:$K$104,1)</f>
        <v>34</v>
      </c>
      <c r="AF172" s="350">
        <f>MATCH(_xlfn.XLOOKUP(N172,[1]梦灵本体产出!$D$30:$D$38,[1]梦灵本体产出!$J$30:$J$38)*T172*10/[1]梦灵属性!$K$26,[1]梦灵属性!$K$56:$K$104,1)</f>
        <v>36</v>
      </c>
      <c r="AG172" s="351"/>
      <c r="AH172" s="266">
        <v>28</v>
      </c>
      <c r="AI172" s="350">
        <f>MATCH(_xlfn.XLOOKUP(K172,[1]梦灵本体产出!$D$30:$D$38,[1]梦灵本体产出!$K$30:$K$38)*Q172*10/[1]梦灵属性!$K$26,[1]梦灵属性!$K$56:$K$104,1)</f>
        <v>26</v>
      </c>
      <c r="AJ172" s="350">
        <f>MATCH(_xlfn.XLOOKUP(L172,[1]梦灵本体产出!$D$30:$D$38,[1]梦灵本体产出!$K$30:$K$38)*R172*10/[1]梦灵属性!$K$26,[1]梦灵属性!$K$56:$K$104,1)</f>
        <v>28</v>
      </c>
      <c r="AK172" s="350">
        <f>MATCH(_xlfn.XLOOKUP(M172,[1]梦灵本体产出!$D$30:$D$38,[1]梦灵本体产出!$K$30:$K$38)*S172*10/[1]梦灵属性!$K$26,[1]梦灵属性!$K$56:$K$104,1)</f>
        <v>32</v>
      </c>
      <c r="AL172" s="350">
        <f>MATCH(_xlfn.XLOOKUP(N172,[1]梦灵本体产出!$D$30:$D$38,[1]梦灵本体产出!$K$30:$K$38)*T172*10/[1]梦灵属性!$K$26,[1]梦灵属性!$K$56:$K$104,1)</f>
        <v>34</v>
      </c>
      <c r="AM172" s="351"/>
      <c r="AN172" s="266">
        <v>28</v>
      </c>
      <c r="AO172" s="350">
        <f>MATCH(_xlfn.XLOOKUP(K172,[1]梦灵本体产出!$D$30:$D$38,[1]梦灵本体产出!$L$30:$L$38)*Q172*10/[1]梦灵属性!$K$26,[1]梦灵属性!$K$56:$K$104,1)</f>
        <v>17</v>
      </c>
      <c r="AP172" s="350">
        <f>MATCH(_xlfn.XLOOKUP(L172,[1]梦灵本体产出!$D$30:$D$38,[1]梦灵本体产出!$L$30:$L$38)*R172*10/[1]梦灵属性!$K$26,[1]梦灵属性!$K$56:$K$104,1)</f>
        <v>19</v>
      </c>
      <c r="AQ172" s="350">
        <f>MATCH(_xlfn.XLOOKUP(M172,[1]梦灵本体产出!$D$30:$D$38,[1]梦灵本体产出!$L$30:$L$38)*S172*10/[1]梦灵属性!$K$26,[1]梦灵属性!$K$56:$K$104,1)</f>
        <v>25</v>
      </c>
      <c r="AR172" s="350">
        <f>MATCH(_xlfn.XLOOKUP(N172,[1]梦灵本体产出!$D$30:$D$38,[1]梦灵本体产出!$L$30:$L$38)*T172*10/[1]梦灵属性!$K$26,[1]梦灵属性!$K$56:$K$104,1)</f>
        <v>27</v>
      </c>
      <c r="AS172" s="351"/>
      <c r="AT172" s="266">
        <v>28</v>
      </c>
      <c r="AU172" s="350">
        <f>IFERROR(MATCH(_xlfn.XLOOKUP(K172,[1]梦灵本体产出!$D$30:$D$38,[1]梦灵本体产出!$M$30:$M$38)*Q172*10/[1]梦灵属性!$K$26,[1]梦灵属性!$K$56:$K$104,1),0)</f>
        <v>9</v>
      </c>
      <c r="AV172" s="350">
        <f>IFERROR(MATCH(_xlfn.XLOOKUP(L172,[1]梦灵本体产出!$D$30:$D$38,[1]梦灵本体产出!$M$30:$M$38)*R172*10/[1]梦灵属性!$K$26,[1]梦灵属性!$K$56:$K$104,1),0)</f>
        <v>9</v>
      </c>
      <c r="AW172" s="350">
        <f>IFERROR(MATCH(_xlfn.XLOOKUP(M172,[1]梦灵本体产出!$D$30:$D$38,[1]梦灵本体产出!$M$30:$M$38)*S172*10/[1]梦灵属性!$K$26,[1]梦灵属性!$K$56:$K$104,1),0)</f>
        <v>14</v>
      </c>
      <c r="AX172" s="350">
        <f>IFERROR(MATCH(_xlfn.XLOOKUP(N172,[1]梦灵本体产出!$D$30:$D$38,[1]梦灵本体产出!$M$30:$M$38)*T172*10/[1]梦灵属性!$K$26,[1]梦灵属性!$K$56:$K$104,1),0)</f>
        <v>16</v>
      </c>
      <c r="AZ172" s="80">
        <f t="shared" si="12"/>
        <v>656.4</v>
      </c>
    </row>
    <row r="173" outlineLevel="1" spans="3:52">
      <c r="C173" s="80" t="s">
        <v>449</v>
      </c>
      <c r="D173" s="19">
        <v>29</v>
      </c>
      <c r="E173" s="19" t="s">
        <v>443</v>
      </c>
      <c r="F173" s="19" t="s">
        <v>445</v>
      </c>
      <c r="G173" s="19" t="s">
        <v>448</v>
      </c>
      <c r="H173" s="19" t="s">
        <v>448</v>
      </c>
      <c r="J173" s="19">
        <v>29</v>
      </c>
      <c r="K173" s="19">
        <v>4</v>
      </c>
      <c r="L173" s="19">
        <v>4</v>
      </c>
      <c r="M173" s="19">
        <v>5</v>
      </c>
      <c r="N173" s="19">
        <v>5</v>
      </c>
      <c r="P173" s="19">
        <v>29</v>
      </c>
      <c r="Q173" s="266">
        <v>3984.37142857142</v>
      </c>
      <c r="R173" s="266">
        <v>4890.03809523809</v>
      </c>
      <c r="S173" s="266">
        <v>7454.08571428572</v>
      </c>
      <c r="T173" s="266">
        <v>9589.10714285714</v>
      </c>
      <c r="V173" s="19">
        <v>29</v>
      </c>
      <c r="W173" s="350">
        <f t="shared" si="17"/>
        <v>23100</v>
      </c>
      <c r="X173" s="350">
        <f t="shared" si="18"/>
        <v>30030</v>
      </c>
      <c r="Y173" s="350">
        <f t="shared" si="19"/>
        <v>48048</v>
      </c>
      <c r="Z173" s="350">
        <f t="shared" si="20"/>
        <v>63525</v>
      </c>
      <c r="AB173" s="19">
        <v>29</v>
      </c>
      <c r="AC173" s="350">
        <f>MATCH(_xlfn.XLOOKUP(K173,[1]梦灵本体产出!$D$30:$D$38,[1]梦灵本体产出!$J$30:$J$38)*Q173*10/[1]梦灵属性!$K$26,[1]梦灵属性!$K$56:$K$104,1)</f>
        <v>30</v>
      </c>
      <c r="AD173" s="350">
        <f>MATCH(_xlfn.XLOOKUP(L173,[1]梦灵本体产出!$D$30:$D$38,[1]梦灵本体产出!$J$30:$J$38)*R173*10/[1]梦灵属性!$K$26,[1]梦灵属性!$K$56:$K$104,1)</f>
        <v>32</v>
      </c>
      <c r="AE173" s="350">
        <f>MATCH(_xlfn.XLOOKUP(M173,[1]梦灵本体产出!$D$30:$D$38,[1]梦灵本体产出!$J$30:$J$38)*S173*10/[1]梦灵属性!$K$26,[1]梦灵属性!$K$56:$K$104,1)</f>
        <v>34</v>
      </c>
      <c r="AF173" s="350">
        <f>MATCH(_xlfn.XLOOKUP(N173,[1]梦灵本体产出!$D$30:$D$38,[1]梦灵本体产出!$J$30:$J$38)*T173*10/[1]梦灵属性!$K$26,[1]梦灵属性!$K$56:$K$104,1)</f>
        <v>36</v>
      </c>
      <c r="AG173" s="351"/>
      <c r="AH173" s="266">
        <v>29</v>
      </c>
      <c r="AI173" s="350">
        <f>MATCH(_xlfn.XLOOKUP(K173,[1]梦灵本体产出!$D$30:$D$38,[1]梦灵本体产出!$K$30:$K$38)*Q173*10/[1]梦灵属性!$K$26,[1]梦灵属性!$K$56:$K$104,1)</f>
        <v>26</v>
      </c>
      <c r="AJ173" s="350">
        <f>MATCH(_xlfn.XLOOKUP(L173,[1]梦灵本体产出!$D$30:$D$38,[1]梦灵本体产出!$K$30:$K$38)*R173*10/[1]梦灵属性!$K$26,[1]梦灵属性!$K$56:$K$104,1)</f>
        <v>28</v>
      </c>
      <c r="AK173" s="350">
        <f>MATCH(_xlfn.XLOOKUP(M173,[1]梦灵本体产出!$D$30:$D$38,[1]梦灵本体产出!$K$30:$K$38)*S173*10/[1]梦灵属性!$K$26,[1]梦灵属性!$K$56:$K$104,1)</f>
        <v>32</v>
      </c>
      <c r="AL173" s="350">
        <f>MATCH(_xlfn.XLOOKUP(N173,[1]梦灵本体产出!$D$30:$D$38,[1]梦灵本体产出!$K$30:$K$38)*T173*10/[1]梦灵属性!$K$26,[1]梦灵属性!$K$56:$K$104,1)</f>
        <v>34</v>
      </c>
      <c r="AM173" s="351"/>
      <c r="AN173" s="266">
        <v>29</v>
      </c>
      <c r="AO173" s="350">
        <f>MATCH(_xlfn.XLOOKUP(K173,[1]梦灵本体产出!$D$30:$D$38,[1]梦灵本体产出!$L$30:$L$38)*Q173*10/[1]梦灵属性!$K$26,[1]梦灵属性!$K$56:$K$104,1)</f>
        <v>17</v>
      </c>
      <c r="AP173" s="350">
        <f>MATCH(_xlfn.XLOOKUP(L173,[1]梦灵本体产出!$D$30:$D$38,[1]梦灵本体产出!$L$30:$L$38)*R173*10/[1]梦灵属性!$K$26,[1]梦灵属性!$K$56:$K$104,1)</f>
        <v>19</v>
      </c>
      <c r="AQ173" s="350">
        <f>MATCH(_xlfn.XLOOKUP(M173,[1]梦灵本体产出!$D$30:$D$38,[1]梦灵本体产出!$L$30:$L$38)*S173*10/[1]梦灵属性!$K$26,[1]梦灵属性!$K$56:$K$104,1)</f>
        <v>25</v>
      </c>
      <c r="AR173" s="350">
        <f>MATCH(_xlfn.XLOOKUP(N173,[1]梦灵本体产出!$D$30:$D$38,[1]梦灵本体产出!$L$30:$L$38)*T173*10/[1]梦灵属性!$K$26,[1]梦灵属性!$K$56:$K$104,1)</f>
        <v>28</v>
      </c>
      <c r="AS173" s="351"/>
      <c r="AT173" s="266">
        <v>29</v>
      </c>
      <c r="AU173" s="350">
        <f>IFERROR(MATCH(_xlfn.XLOOKUP(K173,[1]梦灵本体产出!$D$30:$D$38,[1]梦灵本体产出!$M$30:$M$38)*Q173*10/[1]梦灵属性!$K$26,[1]梦灵属性!$K$56:$K$104,1),0)</f>
        <v>9</v>
      </c>
      <c r="AV173" s="350">
        <f>IFERROR(MATCH(_xlfn.XLOOKUP(L173,[1]梦灵本体产出!$D$30:$D$38,[1]梦灵本体产出!$M$30:$M$38)*R173*10/[1]梦灵属性!$K$26,[1]梦灵属性!$K$56:$K$104,1),0)</f>
        <v>10</v>
      </c>
      <c r="AW173" s="350">
        <f>IFERROR(MATCH(_xlfn.XLOOKUP(M173,[1]梦灵本体产出!$D$30:$D$38,[1]梦灵本体产出!$M$30:$M$38)*S173*10/[1]梦灵属性!$K$26,[1]梦灵属性!$K$56:$K$104,1),0)</f>
        <v>14</v>
      </c>
      <c r="AX173" s="350">
        <f>IFERROR(MATCH(_xlfn.XLOOKUP(N173,[1]梦灵本体产出!$D$30:$D$38,[1]梦灵本体产出!$M$30:$M$38)*T173*10/[1]梦灵属性!$K$26,[1]梦灵属性!$K$56:$K$104,1),0)</f>
        <v>16</v>
      </c>
      <c r="AZ173" s="80">
        <f t="shared" si="12"/>
        <v>656.4</v>
      </c>
    </row>
    <row r="174" outlineLevel="1" spans="3:52">
      <c r="C174" s="80" t="s">
        <v>449</v>
      </c>
      <c r="D174" s="19">
        <v>30</v>
      </c>
      <c r="E174" s="19" t="s">
        <v>443</v>
      </c>
      <c r="F174" s="19" t="s">
        <v>446</v>
      </c>
      <c r="G174" s="19" t="s">
        <v>448</v>
      </c>
      <c r="H174" s="19" t="s">
        <v>448</v>
      </c>
      <c r="J174" s="19">
        <v>30</v>
      </c>
      <c r="K174" s="19">
        <v>4</v>
      </c>
      <c r="L174" s="19">
        <v>4</v>
      </c>
      <c r="M174" s="19">
        <v>5</v>
      </c>
      <c r="N174" s="19">
        <v>5</v>
      </c>
      <c r="P174" s="19">
        <v>30</v>
      </c>
      <c r="Q174" s="266">
        <v>4098.14285714284</v>
      </c>
      <c r="R174" s="266">
        <v>5033.14285714285</v>
      </c>
      <c r="S174" s="266">
        <v>7682.57142857144</v>
      </c>
      <c r="T174" s="266">
        <v>9891.21428571428</v>
      </c>
      <c r="V174" s="19">
        <v>30</v>
      </c>
      <c r="W174" s="350">
        <f t="shared" si="17"/>
        <v>23100</v>
      </c>
      <c r="X174" s="350">
        <f t="shared" si="18"/>
        <v>30030</v>
      </c>
      <c r="Y174" s="350">
        <f t="shared" si="19"/>
        <v>48048</v>
      </c>
      <c r="Z174" s="350">
        <f t="shared" si="20"/>
        <v>63525</v>
      </c>
      <c r="AB174" s="19">
        <v>30</v>
      </c>
      <c r="AC174" s="350">
        <f>MATCH(_xlfn.XLOOKUP(K174,[1]梦灵本体产出!$D$30:$D$38,[1]梦灵本体产出!$J$30:$J$38)*Q174*10/[1]梦灵属性!$K$26,[1]梦灵属性!$K$56:$K$104,1)</f>
        <v>30</v>
      </c>
      <c r="AD174" s="350">
        <f>MATCH(_xlfn.XLOOKUP(L174,[1]梦灵本体产出!$D$30:$D$38,[1]梦灵本体产出!$J$30:$J$38)*R174*10/[1]梦灵属性!$K$26,[1]梦灵属性!$K$56:$K$104,1)</f>
        <v>32</v>
      </c>
      <c r="AE174" s="350">
        <f>MATCH(_xlfn.XLOOKUP(M174,[1]梦灵本体产出!$D$30:$D$38,[1]梦灵本体产出!$J$30:$J$38)*S174*10/[1]梦灵属性!$K$26,[1]梦灵属性!$K$56:$K$104,1)</f>
        <v>34</v>
      </c>
      <c r="AF174" s="350">
        <f>MATCH(_xlfn.XLOOKUP(N174,[1]梦灵本体产出!$D$30:$D$38,[1]梦灵本体产出!$J$30:$J$38)*T174*10/[1]梦灵属性!$K$26,[1]梦灵属性!$K$56:$K$104,1)</f>
        <v>36</v>
      </c>
      <c r="AG174" s="351"/>
      <c r="AH174" s="266">
        <v>30</v>
      </c>
      <c r="AI174" s="350">
        <f>MATCH(_xlfn.XLOOKUP(K174,[1]梦灵本体产出!$D$30:$D$38,[1]梦灵本体产出!$K$30:$K$38)*Q174*10/[1]梦灵属性!$K$26,[1]梦灵属性!$K$56:$K$104,1)</f>
        <v>26</v>
      </c>
      <c r="AJ174" s="350">
        <f>MATCH(_xlfn.XLOOKUP(L174,[1]梦灵本体产出!$D$30:$D$38,[1]梦灵本体产出!$K$30:$K$38)*R174*10/[1]梦灵属性!$K$26,[1]梦灵属性!$K$56:$K$104,1)</f>
        <v>28</v>
      </c>
      <c r="AK174" s="350">
        <f>MATCH(_xlfn.XLOOKUP(M174,[1]梦灵本体产出!$D$30:$D$38,[1]梦灵本体产出!$K$30:$K$38)*S174*10/[1]梦灵属性!$K$26,[1]梦灵属性!$K$56:$K$104,1)</f>
        <v>32</v>
      </c>
      <c r="AL174" s="350">
        <f>MATCH(_xlfn.XLOOKUP(N174,[1]梦灵本体产出!$D$30:$D$38,[1]梦灵本体产出!$K$30:$K$38)*T174*10/[1]梦灵属性!$K$26,[1]梦灵属性!$K$56:$K$104,1)</f>
        <v>35</v>
      </c>
      <c r="AM174" s="351"/>
      <c r="AN174" s="266">
        <v>30</v>
      </c>
      <c r="AO174" s="350">
        <f>MATCH(_xlfn.XLOOKUP(K174,[1]梦灵本体产出!$D$30:$D$38,[1]梦灵本体产出!$L$30:$L$38)*Q174*10/[1]梦灵属性!$K$26,[1]梦灵属性!$K$56:$K$104,1)</f>
        <v>17</v>
      </c>
      <c r="AP174" s="350">
        <f>MATCH(_xlfn.XLOOKUP(L174,[1]梦灵本体产出!$D$30:$D$38,[1]梦灵本体产出!$L$30:$L$38)*R174*10/[1]梦灵属性!$K$26,[1]梦灵属性!$K$56:$K$104,1)</f>
        <v>19</v>
      </c>
      <c r="AQ174" s="350">
        <f>MATCH(_xlfn.XLOOKUP(M174,[1]梦灵本体产出!$D$30:$D$38,[1]梦灵本体产出!$L$30:$L$38)*S174*10/[1]梦灵属性!$K$26,[1]梦灵属性!$K$56:$K$104,1)</f>
        <v>26</v>
      </c>
      <c r="AR174" s="350">
        <f>MATCH(_xlfn.XLOOKUP(N174,[1]梦灵本体产出!$D$30:$D$38,[1]梦灵本体产出!$L$30:$L$38)*T174*10/[1]梦灵属性!$K$26,[1]梦灵属性!$K$56:$K$104,1)</f>
        <v>28</v>
      </c>
      <c r="AS174" s="351"/>
      <c r="AT174" s="266">
        <v>30</v>
      </c>
      <c r="AU174" s="350">
        <f>IFERROR(MATCH(_xlfn.XLOOKUP(K174,[1]梦灵本体产出!$D$30:$D$38,[1]梦灵本体产出!$M$30:$M$38)*Q174*10/[1]梦灵属性!$K$26,[1]梦灵属性!$K$56:$K$104,1),0)</f>
        <v>9</v>
      </c>
      <c r="AV174" s="350">
        <f>IFERROR(MATCH(_xlfn.XLOOKUP(L174,[1]梦灵本体产出!$D$30:$D$38,[1]梦灵本体产出!$M$30:$M$38)*R174*10/[1]梦灵属性!$K$26,[1]梦灵属性!$K$56:$K$104,1),0)</f>
        <v>10</v>
      </c>
      <c r="AW174" s="350">
        <f>IFERROR(MATCH(_xlfn.XLOOKUP(M174,[1]梦灵本体产出!$D$30:$D$38,[1]梦灵本体产出!$M$30:$M$38)*S174*10/[1]梦灵属性!$K$26,[1]梦灵属性!$K$56:$K$104,1),0)</f>
        <v>15</v>
      </c>
      <c r="AX174" s="350">
        <f>IFERROR(MATCH(_xlfn.XLOOKUP(N174,[1]梦灵本体产出!$D$30:$D$38,[1]梦灵本体产出!$M$30:$M$38)*T174*10/[1]梦灵属性!$K$26,[1]梦灵属性!$K$56:$K$104,1),0)</f>
        <v>17</v>
      </c>
      <c r="AZ174" s="80">
        <f t="shared" si="12"/>
        <v>656.4</v>
      </c>
    </row>
    <row r="175" outlineLevel="1" spans="3:52">
      <c r="C175" s="80" t="s">
        <v>450</v>
      </c>
      <c r="D175" s="19">
        <v>31</v>
      </c>
      <c r="E175" s="19" t="s">
        <v>445</v>
      </c>
      <c r="F175" s="19" t="s">
        <v>446</v>
      </c>
      <c r="G175" s="19" t="s">
        <v>448</v>
      </c>
      <c r="H175" s="19" t="s">
        <v>448</v>
      </c>
      <c r="J175" s="19">
        <v>31</v>
      </c>
      <c r="K175" s="19">
        <v>4</v>
      </c>
      <c r="L175" s="19">
        <v>4</v>
      </c>
      <c r="M175" s="19">
        <v>5</v>
      </c>
      <c r="N175" s="19">
        <v>5</v>
      </c>
      <c r="P175" s="19">
        <v>31</v>
      </c>
      <c r="Q175" s="266">
        <v>4211.91428571427</v>
      </c>
      <c r="R175" s="266">
        <v>5176.24761904762</v>
      </c>
      <c r="S175" s="266">
        <v>7911.05714285715</v>
      </c>
      <c r="T175" s="266">
        <v>10193.3214285714</v>
      </c>
      <c r="V175" s="19">
        <v>31</v>
      </c>
      <c r="W175" s="350">
        <f t="shared" si="17"/>
        <v>23100</v>
      </c>
      <c r="X175" s="350">
        <f t="shared" si="18"/>
        <v>30030</v>
      </c>
      <c r="Y175" s="350">
        <f t="shared" si="19"/>
        <v>48048</v>
      </c>
      <c r="Z175" s="350">
        <f t="shared" si="20"/>
        <v>63525</v>
      </c>
      <c r="AB175" s="19">
        <v>31</v>
      </c>
      <c r="AC175" s="350">
        <f>MATCH(_xlfn.XLOOKUP(K175,[1]梦灵本体产出!$D$30:$D$38,[1]梦灵本体产出!$J$30:$J$38)*Q175*10/[1]梦灵属性!$K$26,[1]梦灵属性!$K$56:$K$104,1)</f>
        <v>31</v>
      </c>
      <c r="AD175" s="350">
        <f>MATCH(_xlfn.XLOOKUP(L175,[1]梦灵本体产出!$D$30:$D$38,[1]梦灵本体产出!$J$30:$J$38)*R175*10/[1]梦灵属性!$K$26,[1]梦灵属性!$K$56:$K$104,1)</f>
        <v>32</v>
      </c>
      <c r="AE175" s="350">
        <f>MATCH(_xlfn.XLOOKUP(M175,[1]梦灵本体产出!$D$30:$D$38,[1]梦灵本体产出!$J$30:$J$38)*S175*10/[1]梦灵属性!$K$26,[1]梦灵属性!$K$56:$K$104,1)</f>
        <v>34</v>
      </c>
      <c r="AF175" s="350">
        <f>MATCH(_xlfn.XLOOKUP(N175,[1]梦灵本体产出!$D$30:$D$38,[1]梦灵本体产出!$J$30:$J$38)*T175*10/[1]梦灵属性!$K$26,[1]梦灵属性!$K$56:$K$104,1)</f>
        <v>37</v>
      </c>
      <c r="AG175" s="351"/>
      <c r="AH175" s="266">
        <v>31</v>
      </c>
      <c r="AI175" s="350">
        <f>MATCH(_xlfn.XLOOKUP(K175,[1]梦灵本体产出!$D$30:$D$38,[1]梦灵本体产出!$K$30:$K$38)*Q175*10/[1]梦灵属性!$K$26,[1]梦灵属性!$K$56:$K$104,1)</f>
        <v>26</v>
      </c>
      <c r="AJ175" s="350">
        <f>MATCH(_xlfn.XLOOKUP(L175,[1]梦灵本体产出!$D$30:$D$38,[1]梦灵本体产出!$K$30:$K$38)*R175*10/[1]梦灵属性!$K$26,[1]梦灵属性!$K$56:$K$104,1)</f>
        <v>29</v>
      </c>
      <c r="AK175" s="350">
        <f>MATCH(_xlfn.XLOOKUP(M175,[1]梦灵本体产出!$D$30:$D$38,[1]梦灵本体产出!$K$30:$K$38)*S175*10/[1]梦灵属性!$K$26,[1]梦灵属性!$K$56:$K$104,1)</f>
        <v>33</v>
      </c>
      <c r="AL175" s="350">
        <f>MATCH(_xlfn.XLOOKUP(N175,[1]梦灵本体产出!$D$30:$D$38,[1]梦灵本体产出!$K$30:$K$38)*T175*10/[1]梦灵属性!$K$26,[1]梦灵属性!$K$56:$K$104,1)</f>
        <v>35</v>
      </c>
      <c r="AM175" s="351"/>
      <c r="AN175" s="266">
        <v>31</v>
      </c>
      <c r="AO175" s="350">
        <f>MATCH(_xlfn.XLOOKUP(K175,[1]梦灵本体产出!$D$30:$D$38,[1]梦灵本体产出!$L$30:$L$38)*Q175*10/[1]梦灵属性!$K$26,[1]梦灵属性!$K$56:$K$104,1)</f>
        <v>17</v>
      </c>
      <c r="AP175" s="350">
        <f>MATCH(_xlfn.XLOOKUP(L175,[1]梦灵本体产出!$D$30:$D$38,[1]梦灵本体产出!$L$30:$L$38)*R175*10/[1]梦灵属性!$K$26,[1]梦灵属性!$K$56:$K$104,1)</f>
        <v>19</v>
      </c>
      <c r="AQ175" s="350">
        <f>MATCH(_xlfn.XLOOKUP(M175,[1]梦灵本体产出!$D$30:$D$38,[1]梦灵本体产出!$L$30:$L$38)*S175*10/[1]梦灵属性!$K$26,[1]梦灵属性!$K$56:$K$104,1)</f>
        <v>26</v>
      </c>
      <c r="AR175" s="350">
        <f>MATCH(_xlfn.XLOOKUP(N175,[1]梦灵本体产出!$D$30:$D$38,[1]梦灵本体产出!$L$30:$L$38)*T175*10/[1]梦灵属性!$K$26,[1]梦灵属性!$K$56:$K$104,1)</f>
        <v>28</v>
      </c>
      <c r="AS175" s="351"/>
      <c r="AT175" s="266">
        <v>31</v>
      </c>
      <c r="AU175" s="350">
        <f>IFERROR(MATCH(_xlfn.XLOOKUP(K175,[1]梦灵本体产出!$D$30:$D$38,[1]梦灵本体产出!$M$30:$M$38)*Q175*10/[1]梦灵属性!$K$26,[1]梦灵属性!$K$56:$K$104,1),0)</f>
        <v>9</v>
      </c>
      <c r="AV175" s="350">
        <f>IFERROR(MATCH(_xlfn.XLOOKUP(L175,[1]梦灵本体产出!$D$30:$D$38,[1]梦灵本体产出!$M$30:$M$38)*R175*10/[1]梦灵属性!$K$26,[1]梦灵属性!$K$56:$K$104,1),0)</f>
        <v>10</v>
      </c>
      <c r="AW175" s="350">
        <f>IFERROR(MATCH(_xlfn.XLOOKUP(M175,[1]梦灵本体产出!$D$30:$D$38,[1]梦灵本体产出!$M$30:$M$38)*S175*10/[1]梦灵属性!$K$26,[1]梦灵属性!$K$56:$K$104,1),0)</f>
        <v>15</v>
      </c>
      <c r="AX175" s="350">
        <f>IFERROR(MATCH(_xlfn.XLOOKUP(N175,[1]梦灵本体产出!$D$30:$D$38,[1]梦灵本体产出!$M$30:$M$38)*T175*10/[1]梦灵属性!$K$26,[1]梦灵属性!$K$56:$K$104,1),0)</f>
        <v>17</v>
      </c>
      <c r="AZ175" s="80">
        <f t="shared" si="12"/>
        <v>659.4</v>
      </c>
    </row>
    <row r="176" outlineLevel="1" spans="3:52">
      <c r="C176" s="80" t="s">
        <v>450</v>
      </c>
      <c r="D176" s="19">
        <v>32</v>
      </c>
      <c r="E176" s="19" t="s">
        <v>445</v>
      </c>
      <c r="F176" s="19" t="s">
        <v>446</v>
      </c>
      <c r="G176" s="19" t="s">
        <v>448</v>
      </c>
      <c r="H176" s="19" t="s">
        <v>448</v>
      </c>
      <c r="J176" s="19">
        <v>32</v>
      </c>
      <c r="K176" s="19">
        <v>4</v>
      </c>
      <c r="L176" s="19">
        <v>4</v>
      </c>
      <c r="M176" s="19">
        <v>5</v>
      </c>
      <c r="N176" s="19">
        <v>6</v>
      </c>
      <c r="P176" s="19">
        <v>32</v>
      </c>
      <c r="Q176" s="266">
        <v>4325.6857142857</v>
      </c>
      <c r="R176" s="266">
        <v>5319.35238095238</v>
      </c>
      <c r="S176" s="266">
        <v>8139.54285714287</v>
      </c>
      <c r="T176" s="266">
        <v>10495.4285714286</v>
      </c>
      <c r="V176" s="19">
        <v>32</v>
      </c>
      <c r="W176" s="350">
        <f t="shared" ref="W176:W185" si="21">100*30*1.1*7</f>
        <v>23100</v>
      </c>
      <c r="X176" s="350">
        <f t="shared" ref="X176:X185" si="22">130*1.1*30*7</f>
        <v>30030</v>
      </c>
      <c r="Y176" s="350">
        <f t="shared" ref="Y176:Y185" si="23">208*1.1*30*7</f>
        <v>48048</v>
      </c>
      <c r="Z176" s="350">
        <f t="shared" ref="Z176:Z185" si="24">275*1.1*30*7</f>
        <v>63525</v>
      </c>
      <c r="AB176" s="19">
        <v>32</v>
      </c>
      <c r="AC176" s="350">
        <f>MATCH(_xlfn.XLOOKUP(K176,[1]梦灵本体产出!$D$30:$D$38,[1]梦灵本体产出!$J$30:$J$38)*Q176*10/[1]梦灵属性!$K$26,[1]梦灵属性!$K$56:$K$104,1)</f>
        <v>31</v>
      </c>
      <c r="AD176" s="350">
        <f>MATCH(_xlfn.XLOOKUP(L176,[1]梦灵本体产出!$D$30:$D$38,[1]梦灵本体产出!$J$30:$J$38)*R176*10/[1]梦灵属性!$K$26,[1]梦灵属性!$K$56:$K$104,1)</f>
        <v>33</v>
      </c>
      <c r="AE176" s="350">
        <f>MATCH(_xlfn.XLOOKUP(M176,[1]梦灵本体产出!$D$30:$D$38,[1]梦灵本体产出!$J$30:$J$38)*S176*10/[1]梦灵属性!$K$26,[1]梦灵属性!$K$56:$K$104,1)</f>
        <v>35</v>
      </c>
      <c r="AF176" s="350" t="e">
        <f>MATCH(_xlfn.XLOOKUP(N176,[1]梦灵本体产出!$D$30:$D$38,[1]梦灵本体产出!$J$30:$J$38)*T176*10/[1]梦灵属性!$K$26,[1]梦灵属性!$K$56:$K$104,1)</f>
        <v>#N/A</v>
      </c>
      <c r="AG176" s="351"/>
      <c r="AH176" s="266">
        <v>32</v>
      </c>
      <c r="AI176" s="350">
        <f>MATCH(_xlfn.XLOOKUP(K176,[1]梦灵本体产出!$D$30:$D$38,[1]梦灵本体产出!$K$30:$K$38)*Q176*10/[1]梦灵属性!$K$26,[1]梦灵属性!$K$56:$K$104,1)</f>
        <v>27</v>
      </c>
      <c r="AJ176" s="350">
        <f>MATCH(_xlfn.XLOOKUP(L176,[1]梦灵本体产出!$D$30:$D$38,[1]梦灵本体产出!$K$30:$K$38)*R176*10/[1]梦灵属性!$K$26,[1]梦灵属性!$K$56:$K$104,1)</f>
        <v>29</v>
      </c>
      <c r="AK176" s="350">
        <f>MATCH(_xlfn.XLOOKUP(M176,[1]梦灵本体产出!$D$30:$D$38,[1]梦灵本体产出!$K$30:$K$38)*S176*10/[1]梦灵属性!$K$26,[1]梦灵属性!$K$56:$K$104,1)</f>
        <v>33</v>
      </c>
      <c r="AL176" s="350" t="e">
        <f>MATCH(_xlfn.XLOOKUP(N176,[1]梦灵本体产出!$D$30:$D$38,[1]梦灵本体产出!$K$30:$K$38)*T176*10/[1]梦灵属性!$K$26,[1]梦灵属性!$K$56:$K$104,1)</f>
        <v>#N/A</v>
      </c>
      <c r="AM176" s="351"/>
      <c r="AN176" s="266">
        <v>32</v>
      </c>
      <c r="AO176" s="350">
        <f>MATCH(_xlfn.XLOOKUP(K176,[1]梦灵本体产出!$D$30:$D$38,[1]梦灵本体产出!$L$30:$L$38)*Q176*10/[1]梦灵属性!$K$26,[1]梦灵属性!$K$56:$K$104,1)</f>
        <v>18</v>
      </c>
      <c r="AP176" s="350">
        <f>MATCH(_xlfn.XLOOKUP(L176,[1]梦灵本体产出!$D$30:$D$38,[1]梦灵本体产出!$L$30:$L$38)*R176*10/[1]梦灵属性!$K$26,[1]梦灵属性!$K$56:$K$104,1)</f>
        <v>20</v>
      </c>
      <c r="AQ176" s="350">
        <f>MATCH(_xlfn.XLOOKUP(M176,[1]梦灵本体产出!$D$30:$D$38,[1]梦灵本体产出!$L$30:$L$38)*S176*10/[1]梦灵属性!$K$26,[1]梦灵属性!$K$56:$K$104,1)</f>
        <v>26</v>
      </c>
      <c r="AR176" s="350" t="e">
        <f>MATCH(_xlfn.XLOOKUP(N176,[1]梦灵本体产出!$D$30:$D$38,[1]梦灵本体产出!$L$30:$L$38)*T176*10/[1]梦灵属性!$K$26,[1]梦灵属性!$K$56:$K$104,1)</f>
        <v>#N/A</v>
      </c>
      <c r="AS176" s="351"/>
      <c r="AT176" s="266">
        <v>32</v>
      </c>
      <c r="AU176" s="350">
        <f>IFERROR(MATCH(_xlfn.XLOOKUP(K176,[1]梦灵本体产出!$D$30:$D$38,[1]梦灵本体产出!$M$30:$M$38)*Q176*10/[1]梦灵属性!$K$26,[1]梦灵属性!$K$56:$K$104,1),0)</f>
        <v>9</v>
      </c>
      <c r="AV176" s="350">
        <f>IFERROR(MATCH(_xlfn.XLOOKUP(L176,[1]梦灵本体产出!$D$30:$D$38,[1]梦灵本体产出!$M$30:$M$38)*R176*10/[1]梦灵属性!$K$26,[1]梦灵属性!$K$56:$K$104,1),0)</f>
        <v>10</v>
      </c>
      <c r="AW176" s="350">
        <f>IFERROR(MATCH(_xlfn.XLOOKUP(M176,[1]梦灵本体产出!$D$30:$D$38,[1]梦灵本体产出!$M$30:$M$38)*S176*10/[1]梦灵属性!$K$26,[1]梦灵属性!$K$56:$K$104,1),0)</f>
        <v>15</v>
      </c>
      <c r="AX176" s="350">
        <f>IFERROR(MATCH(_xlfn.XLOOKUP(N176,[1]梦灵本体产出!$D$30:$D$38,[1]梦灵本体产出!$M$30:$M$38)*T176*10/[1]梦灵属性!$K$26,[1]梦灵属性!$K$56:$K$104,1),0)</f>
        <v>0</v>
      </c>
      <c r="AZ176" s="80">
        <f t="shared" si="12"/>
        <v>675</v>
      </c>
    </row>
    <row r="177" outlineLevel="1" spans="3:52">
      <c r="C177" s="80" t="s">
        <v>450</v>
      </c>
      <c r="D177" s="19">
        <v>33</v>
      </c>
      <c r="E177" s="19" t="s">
        <v>445</v>
      </c>
      <c r="F177" s="19" t="s">
        <v>446</v>
      </c>
      <c r="G177" s="19" t="s">
        <v>448</v>
      </c>
      <c r="H177" s="19" t="s">
        <v>448</v>
      </c>
      <c r="J177" s="19">
        <v>33</v>
      </c>
      <c r="K177" s="19">
        <v>4</v>
      </c>
      <c r="L177" s="19">
        <v>4</v>
      </c>
      <c r="M177" s="19">
        <v>5</v>
      </c>
      <c r="N177" s="19">
        <v>6</v>
      </c>
      <c r="P177" s="19">
        <v>33</v>
      </c>
      <c r="Q177" s="266">
        <v>4439.45714285713</v>
      </c>
      <c r="R177" s="266">
        <v>5462.45714285714</v>
      </c>
      <c r="S177" s="266">
        <v>8368.02857142858</v>
      </c>
      <c r="T177" s="266">
        <v>10797.5357142857</v>
      </c>
      <c r="V177" s="19">
        <v>33</v>
      </c>
      <c r="W177" s="350">
        <f t="shared" si="21"/>
        <v>23100</v>
      </c>
      <c r="X177" s="350">
        <f t="shared" si="22"/>
        <v>30030</v>
      </c>
      <c r="Y177" s="350">
        <f t="shared" si="23"/>
        <v>48048</v>
      </c>
      <c r="Z177" s="350">
        <f t="shared" si="24"/>
        <v>63525</v>
      </c>
      <c r="AB177" s="19">
        <v>33</v>
      </c>
      <c r="AC177" s="350">
        <f>MATCH(_xlfn.XLOOKUP(K177,[1]梦灵本体产出!$D$30:$D$38,[1]梦灵本体产出!$J$30:$J$38)*Q177*10/[1]梦灵属性!$K$26,[1]梦灵属性!$K$56:$K$104,1)</f>
        <v>31</v>
      </c>
      <c r="AD177" s="350">
        <f>MATCH(_xlfn.XLOOKUP(L177,[1]梦灵本体产出!$D$30:$D$38,[1]梦灵本体产出!$J$30:$J$38)*R177*10/[1]梦灵属性!$K$26,[1]梦灵属性!$K$56:$K$104,1)</f>
        <v>33</v>
      </c>
      <c r="AE177" s="350">
        <f>MATCH(_xlfn.XLOOKUP(M177,[1]梦灵本体产出!$D$30:$D$38,[1]梦灵本体产出!$J$30:$J$38)*S177*10/[1]梦灵属性!$K$26,[1]梦灵属性!$K$56:$K$104,1)</f>
        <v>35</v>
      </c>
      <c r="AF177" s="350" t="e">
        <f>MATCH(_xlfn.XLOOKUP(N177,[1]梦灵本体产出!$D$30:$D$38,[1]梦灵本体产出!$J$30:$J$38)*T177*10/[1]梦灵属性!$K$26,[1]梦灵属性!$K$56:$K$104,1)</f>
        <v>#N/A</v>
      </c>
      <c r="AG177" s="351"/>
      <c r="AH177" s="266">
        <v>33</v>
      </c>
      <c r="AI177" s="350">
        <f>MATCH(_xlfn.XLOOKUP(K177,[1]梦灵本体产出!$D$30:$D$38,[1]梦灵本体产出!$K$30:$K$38)*Q177*10/[1]梦灵属性!$K$26,[1]梦灵属性!$K$56:$K$104,1)</f>
        <v>27</v>
      </c>
      <c r="AJ177" s="350">
        <f>MATCH(_xlfn.XLOOKUP(L177,[1]梦灵本体产出!$D$30:$D$38,[1]梦灵本体产出!$K$30:$K$38)*R177*10/[1]梦灵属性!$K$26,[1]梦灵属性!$K$56:$K$104,1)</f>
        <v>29</v>
      </c>
      <c r="AK177" s="350">
        <f>MATCH(_xlfn.XLOOKUP(M177,[1]梦灵本体产出!$D$30:$D$38,[1]梦灵本体产出!$K$30:$K$38)*S177*10/[1]梦灵属性!$K$26,[1]梦灵属性!$K$56:$K$104,1)</f>
        <v>33</v>
      </c>
      <c r="AL177" s="350" t="e">
        <f>MATCH(_xlfn.XLOOKUP(N177,[1]梦灵本体产出!$D$30:$D$38,[1]梦灵本体产出!$K$30:$K$38)*T177*10/[1]梦灵属性!$K$26,[1]梦灵属性!$K$56:$K$104,1)</f>
        <v>#N/A</v>
      </c>
      <c r="AM177" s="351"/>
      <c r="AN177" s="266">
        <v>33</v>
      </c>
      <c r="AO177" s="350">
        <f>MATCH(_xlfn.XLOOKUP(K177,[1]梦灵本体产出!$D$30:$D$38,[1]梦灵本体产出!$L$30:$L$38)*Q177*10/[1]梦灵属性!$K$26,[1]梦灵属性!$K$56:$K$104,1)</f>
        <v>18</v>
      </c>
      <c r="AP177" s="350">
        <f>MATCH(_xlfn.XLOOKUP(L177,[1]梦灵本体产出!$D$30:$D$38,[1]梦灵本体产出!$L$30:$L$38)*R177*10/[1]梦灵属性!$K$26,[1]梦灵属性!$K$56:$K$104,1)</f>
        <v>20</v>
      </c>
      <c r="AQ177" s="350">
        <f>MATCH(_xlfn.XLOOKUP(M177,[1]梦灵本体产出!$D$30:$D$38,[1]梦灵本体产出!$L$30:$L$38)*S177*10/[1]梦灵属性!$K$26,[1]梦灵属性!$K$56:$K$104,1)</f>
        <v>26</v>
      </c>
      <c r="AR177" s="350" t="e">
        <f>MATCH(_xlfn.XLOOKUP(N177,[1]梦灵本体产出!$D$30:$D$38,[1]梦灵本体产出!$L$30:$L$38)*T177*10/[1]梦灵属性!$K$26,[1]梦灵属性!$K$56:$K$104,1)</f>
        <v>#N/A</v>
      </c>
      <c r="AS177" s="351"/>
      <c r="AT177" s="266">
        <v>33</v>
      </c>
      <c r="AU177" s="350">
        <f>IFERROR(MATCH(_xlfn.XLOOKUP(K177,[1]梦灵本体产出!$D$30:$D$38,[1]梦灵本体产出!$M$30:$M$38)*Q177*10/[1]梦灵属性!$K$26,[1]梦灵属性!$K$56:$K$104,1),0)</f>
        <v>9</v>
      </c>
      <c r="AV177" s="350">
        <f>IFERROR(MATCH(_xlfn.XLOOKUP(L177,[1]梦灵本体产出!$D$30:$D$38,[1]梦灵本体产出!$M$30:$M$38)*R177*10/[1]梦灵属性!$K$26,[1]梦灵属性!$K$56:$K$104,1),0)</f>
        <v>10</v>
      </c>
      <c r="AW177" s="350">
        <f>IFERROR(MATCH(_xlfn.XLOOKUP(M177,[1]梦灵本体产出!$D$30:$D$38,[1]梦灵本体产出!$M$30:$M$38)*S177*10/[1]梦灵属性!$K$26,[1]梦灵属性!$K$56:$K$104,1),0)</f>
        <v>15</v>
      </c>
      <c r="AX177" s="350">
        <f>IFERROR(MATCH(_xlfn.XLOOKUP(N177,[1]梦灵本体产出!$D$30:$D$38,[1]梦灵本体产出!$M$30:$M$38)*T177*10/[1]梦灵属性!$K$26,[1]梦灵属性!$K$56:$K$104,1),0)</f>
        <v>0</v>
      </c>
      <c r="AZ177" s="80">
        <f t="shared" si="12"/>
        <v>675</v>
      </c>
    </row>
    <row r="178" outlineLevel="1" spans="3:52">
      <c r="C178" s="80" t="s">
        <v>450</v>
      </c>
      <c r="D178" s="19">
        <v>34</v>
      </c>
      <c r="E178" s="19" t="s">
        <v>445</v>
      </c>
      <c r="F178" s="19" t="s">
        <v>446</v>
      </c>
      <c r="G178" s="19" t="s">
        <v>448</v>
      </c>
      <c r="H178" s="19" t="s">
        <v>448</v>
      </c>
      <c r="J178" s="19">
        <v>34</v>
      </c>
      <c r="K178" s="19">
        <v>4</v>
      </c>
      <c r="L178" s="19">
        <v>4</v>
      </c>
      <c r="M178" s="19">
        <v>5</v>
      </c>
      <c r="N178" s="19">
        <v>6</v>
      </c>
      <c r="P178" s="19">
        <v>34</v>
      </c>
      <c r="Q178" s="266">
        <v>4553.22857142856</v>
      </c>
      <c r="R178" s="266">
        <v>5605.5619047619</v>
      </c>
      <c r="S178" s="266">
        <v>8596.5142857143</v>
      </c>
      <c r="T178" s="266">
        <v>11099.6428571429</v>
      </c>
      <c r="V178" s="19">
        <v>34</v>
      </c>
      <c r="W178" s="350">
        <f t="shared" si="21"/>
        <v>23100</v>
      </c>
      <c r="X178" s="350">
        <f t="shared" si="22"/>
        <v>30030</v>
      </c>
      <c r="Y178" s="350">
        <f t="shared" si="23"/>
        <v>48048</v>
      </c>
      <c r="Z178" s="350">
        <f t="shared" si="24"/>
        <v>63525</v>
      </c>
      <c r="AB178" s="19">
        <v>34</v>
      </c>
      <c r="AC178" s="350">
        <f>MATCH(_xlfn.XLOOKUP(K178,[1]梦灵本体产出!$D$30:$D$38,[1]梦灵本体产出!$J$30:$J$38)*Q178*10/[1]梦灵属性!$K$26,[1]梦灵属性!$K$56:$K$104,1)</f>
        <v>31</v>
      </c>
      <c r="AD178" s="350">
        <f>MATCH(_xlfn.XLOOKUP(L178,[1]梦灵本体产出!$D$30:$D$38,[1]梦灵本体产出!$J$30:$J$38)*R178*10/[1]梦灵属性!$K$26,[1]梦灵属性!$K$56:$K$104,1)</f>
        <v>33</v>
      </c>
      <c r="AE178" s="350">
        <f>MATCH(_xlfn.XLOOKUP(M178,[1]梦灵本体产出!$D$30:$D$38,[1]梦灵本体产出!$J$30:$J$38)*S178*10/[1]梦灵属性!$K$26,[1]梦灵属性!$K$56:$K$104,1)</f>
        <v>35</v>
      </c>
      <c r="AF178" s="350" t="e">
        <f>MATCH(_xlfn.XLOOKUP(N178,[1]梦灵本体产出!$D$30:$D$38,[1]梦灵本体产出!$J$30:$J$38)*T178*10/[1]梦灵属性!$K$26,[1]梦灵属性!$K$56:$K$104,1)</f>
        <v>#N/A</v>
      </c>
      <c r="AG178" s="351"/>
      <c r="AH178" s="266">
        <v>34</v>
      </c>
      <c r="AI178" s="350">
        <f>MATCH(_xlfn.XLOOKUP(K178,[1]梦灵本体产出!$D$30:$D$38,[1]梦灵本体产出!$K$30:$K$38)*Q178*10/[1]梦灵属性!$K$26,[1]梦灵属性!$K$56:$K$104,1)</f>
        <v>27</v>
      </c>
      <c r="AJ178" s="350">
        <f>MATCH(_xlfn.XLOOKUP(L178,[1]梦灵本体产出!$D$30:$D$38,[1]梦灵本体产出!$K$30:$K$38)*R178*10/[1]梦灵属性!$K$26,[1]梦灵属性!$K$56:$K$104,1)</f>
        <v>29</v>
      </c>
      <c r="AK178" s="350">
        <f>MATCH(_xlfn.XLOOKUP(M178,[1]梦灵本体产出!$D$30:$D$38,[1]梦灵本体产出!$K$30:$K$38)*S178*10/[1]梦灵属性!$K$26,[1]梦灵属性!$K$56:$K$104,1)</f>
        <v>34</v>
      </c>
      <c r="AL178" s="350" t="e">
        <f>MATCH(_xlfn.XLOOKUP(N178,[1]梦灵本体产出!$D$30:$D$38,[1]梦灵本体产出!$K$30:$K$38)*T178*10/[1]梦灵属性!$K$26,[1]梦灵属性!$K$56:$K$104,1)</f>
        <v>#N/A</v>
      </c>
      <c r="AM178" s="351"/>
      <c r="AN178" s="266">
        <v>34</v>
      </c>
      <c r="AO178" s="350">
        <f>MATCH(_xlfn.XLOOKUP(K178,[1]梦灵本体产出!$D$30:$D$38,[1]梦灵本体产出!$L$30:$L$38)*Q178*10/[1]梦灵属性!$K$26,[1]梦灵属性!$K$56:$K$104,1)</f>
        <v>18</v>
      </c>
      <c r="AP178" s="350">
        <f>MATCH(_xlfn.XLOOKUP(L178,[1]梦灵本体产出!$D$30:$D$38,[1]梦灵本体产出!$L$30:$L$38)*R178*10/[1]梦灵属性!$K$26,[1]梦灵属性!$K$56:$K$104,1)</f>
        <v>20</v>
      </c>
      <c r="AQ178" s="350">
        <f>MATCH(_xlfn.XLOOKUP(M178,[1]梦灵本体产出!$D$30:$D$38,[1]梦灵本体产出!$L$30:$L$38)*S178*10/[1]梦灵属性!$K$26,[1]梦灵属性!$K$56:$K$104,1)</f>
        <v>27</v>
      </c>
      <c r="AR178" s="350" t="e">
        <f>MATCH(_xlfn.XLOOKUP(N178,[1]梦灵本体产出!$D$30:$D$38,[1]梦灵本体产出!$L$30:$L$38)*T178*10/[1]梦灵属性!$K$26,[1]梦灵属性!$K$56:$K$104,1)</f>
        <v>#N/A</v>
      </c>
      <c r="AS178" s="351"/>
      <c r="AT178" s="266">
        <v>34</v>
      </c>
      <c r="AU178" s="350">
        <f>IFERROR(MATCH(_xlfn.XLOOKUP(K178,[1]梦灵本体产出!$D$30:$D$38,[1]梦灵本体产出!$M$30:$M$38)*Q178*10/[1]梦灵属性!$K$26,[1]梦灵属性!$K$56:$K$104,1),0)</f>
        <v>9</v>
      </c>
      <c r="AV178" s="350">
        <f>IFERROR(MATCH(_xlfn.XLOOKUP(L178,[1]梦灵本体产出!$D$30:$D$38,[1]梦灵本体产出!$M$30:$M$38)*R178*10/[1]梦灵属性!$K$26,[1]梦灵属性!$K$56:$K$104,1),0)</f>
        <v>10</v>
      </c>
      <c r="AW178" s="350">
        <f>IFERROR(MATCH(_xlfn.XLOOKUP(M178,[1]梦灵本体产出!$D$30:$D$38,[1]梦灵本体产出!$M$30:$M$38)*S178*10/[1]梦灵属性!$K$26,[1]梦灵属性!$K$56:$K$104,1),0)</f>
        <v>15</v>
      </c>
      <c r="AX178" s="350">
        <f>IFERROR(MATCH(_xlfn.XLOOKUP(N178,[1]梦灵本体产出!$D$30:$D$38,[1]梦灵本体产出!$M$30:$M$38)*T178*10/[1]梦灵属性!$K$26,[1]梦灵属性!$K$56:$K$104,1),0)</f>
        <v>0</v>
      </c>
      <c r="AZ178" s="80">
        <f t="shared" ref="AZ178:AZ204" si="25">AC178*1*3+AI178*1.2*6+AO178*1.4*6+AU178*1.6*6+150</f>
        <v>675</v>
      </c>
    </row>
    <row r="179" outlineLevel="1" spans="3:52">
      <c r="C179" s="80" t="s">
        <v>450</v>
      </c>
      <c r="D179" s="19">
        <v>35</v>
      </c>
      <c r="E179" s="19" t="s">
        <v>445</v>
      </c>
      <c r="F179" s="19" t="s">
        <v>446</v>
      </c>
      <c r="G179" s="19" t="s">
        <v>448</v>
      </c>
      <c r="H179" s="19" t="s">
        <v>448</v>
      </c>
      <c r="J179" s="19">
        <v>35</v>
      </c>
      <c r="K179" s="19">
        <v>4</v>
      </c>
      <c r="L179" s="19">
        <v>4</v>
      </c>
      <c r="M179" s="19">
        <v>5</v>
      </c>
      <c r="N179" s="19">
        <v>6</v>
      </c>
      <c r="P179" s="19">
        <v>35</v>
      </c>
      <c r="Q179" s="266">
        <v>4666.99999999998</v>
      </c>
      <c r="R179" s="266">
        <v>5748.66666666666</v>
      </c>
      <c r="S179" s="266">
        <v>8825.00000000001</v>
      </c>
      <c r="T179" s="266">
        <v>11401.75</v>
      </c>
      <c r="V179" s="19">
        <v>35</v>
      </c>
      <c r="W179" s="350">
        <f t="shared" si="21"/>
        <v>23100</v>
      </c>
      <c r="X179" s="350">
        <f t="shared" si="22"/>
        <v>30030</v>
      </c>
      <c r="Y179" s="350">
        <f t="shared" si="23"/>
        <v>48048</v>
      </c>
      <c r="Z179" s="350">
        <f t="shared" si="24"/>
        <v>63525</v>
      </c>
      <c r="AB179" s="19">
        <v>35</v>
      </c>
      <c r="AC179" s="350">
        <f>MATCH(_xlfn.XLOOKUP(K179,[1]梦灵本体产出!$D$30:$D$38,[1]梦灵本体产出!$J$30:$J$38)*Q179*10/[1]梦灵属性!$K$26,[1]梦灵属性!$K$56:$K$104,1)</f>
        <v>31</v>
      </c>
      <c r="AD179" s="350">
        <f>MATCH(_xlfn.XLOOKUP(L179,[1]梦灵本体产出!$D$30:$D$38,[1]梦灵本体产出!$J$30:$J$38)*R179*10/[1]梦灵属性!$K$26,[1]梦灵属性!$K$56:$K$104,1)</f>
        <v>33</v>
      </c>
      <c r="AE179" s="350">
        <f>MATCH(_xlfn.XLOOKUP(M179,[1]梦灵本体产出!$D$30:$D$38,[1]梦灵本体产出!$J$30:$J$38)*S179*10/[1]梦灵属性!$K$26,[1]梦灵属性!$K$56:$K$104,1)</f>
        <v>35</v>
      </c>
      <c r="AF179" s="350" t="e">
        <f>MATCH(_xlfn.XLOOKUP(N179,[1]梦灵本体产出!$D$30:$D$38,[1]梦灵本体产出!$J$30:$J$38)*T179*10/[1]梦灵属性!$K$26,[1]梦灵属性!$K$56:$K$104,1)</f>
        <v>#N/A</v>
      </c>
      <c r="AG179" s="351"/>
      <c r="AH179" s="266">
        <v>35</v>
      </c>
      <c r="AI179" s="350">
        <f>MATCH(_xlfn.XLOOKUP(K179,[1]梦灵本体产出!$D$30:$D$38,[1]梦灵本体产出!$K$30:$K$38)*Q179*10/[1]梦灵属性!$K$26,[1]梦灵属性!$K$56:$K$104,1)</f>
        <v>27</v>
      </c>
      <c r="AJ179" s="350">
        <f>MATCH(_xlfn.XLOOKUP(L179,[1]梦灵本体产出!$D$30:$D$38,[1]梦灵本体产出!$K$30:$K$38)*R179*10/[1]梦灵属性!$K$26,[1]梦灵属性!$K$56:$K$104,1)</f>
        <v>29</v>
      </c>
      <c r="AK179" s="350">
        <f>MATCH(_xlfn.XLOOKUP(M179,[1]梦灵本体产出!$D$30:$D$38,[1]梦灵本体产出!$K$30:$K$38)*S179*10/[1]梦灵属性!$K$26,[1]梦灵属性!$K$56:$K$104,1)</f>
        <v>34</v>
      </c>
      <c r="AL179" s="350" t="e">
        <f>MATCH(_xlfn.XLOOKUP(N179,[1]梦灵本体产出!$D$30:$D$38,[1]梦灵本体产出!$K$30:$K$38)*T179*10/[1]梦灵属性!$K$26,[1]梦灵属性!$K$56:$K$104,1)</f>
        <v>#N/A</v>
      </c>
      <c r="AM179" s="351"/>
      <c r="AN179" s="266">
        <v>35</v>
      </c>
      <c r="AO179" s="350">
        <f>MATCH(_xlfn.XLOOKUP(K179,[1]梦灵本体产出!$D$30:$D$38,[1]梦灵本体产出!$L$30:$L$38)*Q179*10/[1]梦灵属性!$K$26,[1]梦灵属性!$K$56:$K$104,1)</f>
        <v>18</v>
      </c>
      <c r="AP179" s="350">
        <f>MATCH(_xlfn.XLOOKUP(L179,[1]梦灵本体产出!$D$30:$D$38,[1]梦灵本体产出!$L$30:$L$38)*R179*10/[1]梦灵属性!$K$26,[1]梦灵属性!$K$56:$K$104,1)</f>
        <v>20</v>
      </c>
      <c r="AQ179" s="350">
        <f>MATCH(_xlfn.XLOOKUP(M179,[1]梦灵本体产出!$D$30:$D$38,[1]梦灵本体产出!$L$30:$L$38)*S179*10/[1]梦灵属性!$K$26,[1]梦灵属性!$K$56:$K$104,1)</f>
        <v>27</v>
      </c>
      <c r="AR179" s="350" t="e">
        <f>MATCH(_xlfn.XLOOKUP(N179,[1]梦灵本体产出!$D$30:$D$38,[1]梦灵本体产出!$L$30:$L$38)*T179*10/[1]梦灵属性!$K$26,[1]梦灵属性!$K$56:$K$104,1)</f>
        <v>#N/A</v>
      </c>
      <c r="AS179" s="351"/>
      <c r="AT179" s="266">
        <v>35</v>
      </c>
      <c r="AU179" s="350">
        <f>IFERROR(MATCH(_xlfn.XLOOKUP(K179,[1]梦灵本体产出!$D$30:$D$38,[1]梦灵本体产出!$M$30:$M$38)*Q179*10/[1]梦灵属性!$K$26,[1]梦灵属性!$K$56:$K$104,1),0)</f>
        <v>9</v>
      </c>
      <c r="AV179" s="350">
        <f>IFERROR(MATCH(_xlfn.XLOOKUP(L179,[1]梦灵本体产出!$D$30:$D$38,[1]梦灵本体产出!$M$30:$M$38)*R179*10/[1]梦灵属性!$K$26,[1]梦灵属性!$K$56:$K$104,1),0)</f>
        <v>10</v>
      </c>
      <c r="AW179" s="350">
        <f>IFERROR(MATCH(_xlfn.XLOOKUP(M179,[1]梦灵本体产出!$D$30:$D$38,[1]梦灵本体产出!$M$30:$M$38)*S179*10/[1]梦灵属性!$K$26,[1]梦灵属性!$K$56:$K$104,1),0)</f>
        <v>16</v>
      </c>
      <c r="AX179" s="350">
        <f>IFERROR(MATCH(_xlfn.XLOOKUP(N179,[1]梦灵本体产出!$D$30:$D$38,[1]梦灵本体产出!$M$30:$M$38)*T179*10/[1]梦灵属性!$K$26,[1]梦灵属性!$K$56:$K$104,1),0)</f>
        <v>0</v>
      </c>
      <c r="AZ179" s="80">
        <f t="shared" si="25"/>
        <v>675</v>
      </c>
    </row>
    <row r="180" outlineLevel="1" spans="3:52">
      <c r="C180" s="80" t="s">
        <v>450</v>
      </c>
      <c r="D180" s="19">
        <v>36</v>
      </c>
      <c r="E180" s="19" t="s">
        <v>445</v>
      </c>
      <c r="F180" s="19" t="s">
        <v>446</v>
      </c>
      <c r="G180" s="19" t="s">
        <v>448</v>
      </c>
      <c r="H180" s="19" t="s">
        <v>448</v>
      </c>
      <c r="J180" s="19">
        <v>36</v>
      </c>
      <c r="K180" s="19">
        <v>4</v>
      </c>
      <c r="L180" s="19">
        <v>4</v>
      </c>
      <c r="M180" s="19">
        <v>5</v>
      </c>
      <c r="N180" s="19">
        <v>6</v>
      </c>
      <c r="P180" s="19">
        <v>36</v>
      </c>
      <c r="Q180" s="266">
        <v>4780.77142857141</v>
      </c>
      <c r="R180" s="266">
        <v>5891.77142857143</v>
      </c>
      <c r="S180" s="266">
        <v>9053.48571428573</v>
      </c>
      <c r="T180" s="266">
        <v>11703.8571428571</v>
      </c>
      <c r="V180" s="19">
        <v>36</v>
      </c>
      <c r="W180" s="350">
        <f t="shared" si="21"/>
        <v>23100</v>
      </c>
      <c r="X180" s="350">
        <f t="shared" si="22"/>
        <v>30030</v>
      </c>
      <c r="Y180" s="350">
        <f t="shared" si="23"/>
        <v>48048</v>
      </c>
      <c r="Z180" s="350">
        <f t="shared" si="24"/>
        <v>63525</v>
      </c>
      <c r="AB180" s="19">
        <v>36</v>
      </c>
      <c r="AC180" s="350">
        <f>MATCH(_xlfn.XLOOKUP(K180,[1]梦灵本体产出!$D$30:$D$38,[1]梦灵本体产出!$J$30:$J$38)*Q180*10/[1]梦灵属性!$K$26,[1]梦灵属性!$K$56:$K$104,1)</f>
        <v>32</v>
      </c>
      <c r="AD180" s="350">
        <f>MATCH(_xlfn.XLOOKUP(L180,[1]梦灵本体产出!$D$30:$D$38,[1]梦灵本体产出!$J$30:$J$38)*R180*10/[1]梦灵属性!$K$26,[1]梦灵属性!$K$56:$K$104,1)</f>
        <v>34</v>
      </c>
      <c r="AE180" s="350">
        <f>MATCH(_xlfn.XLOOKUP(M180,[1]梦灵本体产出!$D$30:$D$38,[1]梦灵本体产出!$J$30:$J$38)*S180*10/[1]梦灵属性!$K$26,[1]梦灵属性!$K$56:$K$104,1)</f>
        <v>35</v>
      </c>
      <c r="AF180" s="350" t="e">
        <f>MATCH(_xlfn.XLOOKUP(N180,[1]梦灵本体产出!$D$30:$D$38,[1]梦灵本体产出!$J$30:$J$38)*T180*10/[1]梦灵属性!$K$26,[1]梦灵属性!$K$56:$K$104,1)</f>
        <v>#N/A</v>
      </c>
      <c r="AG180" s="351"/>
      <c r="AH180" s="266">
        <v>36</v>
      </c>
      <c r="AI180" s="350">
        <f>MATCH(_xlfn.XLOOKUP(K180,[1]梦灵本体产出!$D$30:$D$38,[1]梦灵本体产出!$K$30:$K$38)*Q180*10/[1]梦灵属性!$K$26,[1]梦灵属性!$K$56:$K$104,1)</f>
        <v>28</v>
      </c>
      <c r="AJ180" s="350">
        <f>MATCH(_xlfn.XLOOKUP(L180,[1]梦灵本体产出!$D$30:$D$38,[1]梦灵本体产出!$K$30:$K$38)*R180*10/[1]梦灵属性!$K$26,[1]梦灵属性!$K$56:$K$104,1)</f>
        <v>29</v>
      </c>
      <c r="AK180" s="350">
        <f>MATCH(_xlfn.XLOOKUP(M180,[1]梦灵本体产出!$D$30:$D$38,[1]梦灵本体产出!$K$30:$K$38)*S180*10/[1]梦灵属性!$K$26,[1]梦灵属性!$K$56:$K$104,1)</f>
        <v>34</v>
      </c>
      <c r="AL180" s="350" t="e">
        <f>MATCH(_xlfn.XLOOKUP(N180,[1]梦灵本体产出!$D$30:$D$38,[1]梦灵本体产出!$K$30:$K$38)*T180*10/[1]梦灵属性!$K$26,[1]梦灵属性!$K$56:$K$104,1)</f>
        <v>#N/A</v>
      </c>
      <c r="AM180" s="351"/>
      <c r="AN180" s="266">
        <v>36</v>
      </c>
      <c r="AO180" s="350">
        <f>MATCH(_xlfn.XLOOKUP(K180,[1]梦灵本体产出!$D$30:$D$38,[1]梦灵本体产出!$L$30:$L$38)*Q180*10/[1]梦灵属性!$K$26,[1]梦灵属性!$K$56:$K$104,1)</f>
        <v>19</v>
      </c>
      <c r="AP180" s="350">
        <f>MATCH(_xlfn.XLOOKUP(L180,[1]梦灵本体产出!$D$30:$D$38,[1]梦灵本体产出!$L$30:$L$38)*R180*10/[1]梦灵属性!$K$26,[1]梦灵属性!$K$56:$K$104,1)</f>
        <v>20</v>
      </c>
      <c r="AQ180" s="350">
        <f>MATCH(_xlfn.XLOOKUP(M180,[1]梦灵本体产出!$D$30:$D$38,[1]梦灵本体产出!$L$30:$L$38)*S180*10/[1]梦灵属性!$K$26,[1]梦灵属性!$K$56:$K$104,1)</f>
        <v>27</v>
      </c>
      <c r="AR180" s="350" t="e">
        <f>MATCH(_xlfn.XLOOKUP(N180,[1]梦灵本体产出!$D$30:$D$38,[1]梦灵本体产出!$L$30:$L$38)*T180*10/[1]梦灵属性!$K$26,[1]梦灵属性!$K$56:$K$104,1)</f>
        <v>#N/A</v>
      </c>
      <c r="AS180" s="351"/>
      <c r="AT180" s="266">
        <v>36</v>
      </c>
      <c r="AU180" s="350">
        <f>IFERROR(MATCH(_xlfn.XLOOKUP(K180,[1]梦灵本体产出!$D$30:$D$38,[1]梦灵本体产出!$M$30:$M$38)*Q180*10/[1]梦灵属性!$K$26,[1]梦灵属性!$K$56:$K$104,1),0)</f>
        <v>10</v>
      </c>
      <c r="AV180" s="350">
        <f>IFERROR(MATCH(_xlfn.XLOOKUP(L180,[1]梦灵本体产出!$D$30:$D$38,[1]梦灵本体产出!$M$30:$M$38)*R180*10/[1]梦灵属性!$K$26,[1]梦灵属性!$K$56:$K$104,1),0)</f>
        <v>10</v>
      </c>
      <c r="AW180" s="350">
        <f>IFERROR(MATCH(_xlfn.XLOOKUP(M180,[1]梦灵本体产出!$D$30:$D$38,[1]梦灵本体产出!$M$30:$M$38)*S180*10/[1]梦灵属性!$K$26,[1]梦灵属性!$K$56:$K$104,1),0)</f>
        <v>16</v>
      </c>
      <c r="AX180" s="350">
        <f>IFERROR(MATCH(_xlfn.XLOOKUP(N180,[1]梦灵本体产出!$D$30:$D$38,[1]梦灵本体产出!$M$30:$M$38)*T180*10/[1]梦灵属性!$K$26,[1]梦灵属性!$K$56:$K$104,1),0)</f>
        <v>0</v>
      </c>
      <c r="AZ180" s="80">
        <f t="shared" si="25"/>
        <v>703.2</v>
      </c>
    </row>
    <row r="181" outlineLevel="1" spans="3:52">
      <c r="C181" s="80" t="s">
        <v>450</v>
      </c>
      <c r="D181" s="19">
        <v>37</v>
      </c>
      <c r="E181" s="19" t="s">
        <v>445</v>
      </c>
      <c r="F181" s="19" t="s">
        <v>446</v>
      </c>
      <c r="G181" s="19" t="s">
        <v>448</v>
      </c>
      <c r="H181" s="19" t="s">
        <v>448</v>
      </c>
      <c r="J181" s="19">
        <v>37</v>
      </c>
      <c r="K181" s="19">
        <v>4</v>
      </c>
      <c r="L181" s="19">
        <v>4</v>
      </c>
      <c r="M181" s="19">
        <v>5</v>
      </c>
      <c r="N181" s="19">
        <v>6</v>
      </c>
      <c r="P181" s="19">
        <v>37</v>
      </c>
      <c r="Q181" s="266">
        <v>4894.54285714284</v>
      </c>
      <c r="R181" s="266">
        <v>6034.87619047619</v>
      </c>
      <c r="S181" s="266">
        <v>9281.97142857144</v>
      </c>
      <c r="T181" s="266">
        <v>12005.9642857143</v>
      </c>
      <c r="V181" s="19">
        <v>37</v>
      </c>
      <c r="W181" s="350">
        <f t="shared" si="21"/>
        <v>23100</v>
      </c>
      <c r="X181" s="350">
        <f t="shared" si="22"/>
        <v>30030</v>
      </c>
      <c r="Y181" s="350">
        <f t="shared" si="23"/>
        <v>48048</v>
      </c>
      <c r="Z181" s="350">
        <f t="shared" si="24"/>
        <v>63525</v>
      </c>
      <c r="AB181" s="19">
        <v>37</v>
      </c>
      <c r="AC181" s="350">
        <f>MATCH(_xlfn.XLOOKUP(K181,[1]梦灵本体产出!$D$30:$D$38,[1]梦灵本体产出!$J$30:$J$38)*Q181*10/[1]梦灵属性!$K$26,[1]梦灵属性!$K$56:$K$104,1)</f>
        <v>32</v>
      </c>
      <c r="AD181" s="350">
        <f>MATCH(_xlfn.XLOOKUP(L181,[1]梦灵本体产出!$D$30:$D$38,[1]梦灵本体产出!$J$30:$J$38)*R181*10/[1]梦灵属性!$K$26,[1]梦灵属性!$K$56:$K$104,1)</f>
        <v>34</v>
      </c>
      <c r="AE181" s="350">
        <f>MATCH(_xlfn.XLOOKUP(M181,[1]梦灵本体产出!$D$30:$D$38,[1]梦灵本体产出!$J$30:$J$38)*S181*10/[1]梦灵属性!$K$26,[1]梦灵属性!$K$56:$K$104,1)</f>
        <v>36</v>
      </c>
      <c r="AF181" s="350" t="e">
        <f>MATCH(_xlfn.XLOOKUP(N181,[1]梦灵本体产出!$D$30:$D$38,[1]梦灵本体产出!$J$30:$J$38)*T181*10/[1]梦灵属性!$K$26,[1]梦灵属性!$K$56:$K$104,1)</f>
        <v>#N/A</v>
      </c>
      <c r="AG181" s="351"/>
      <c r="AH181" s="266">
        <v>37</v>
      </c>
      <c r="AI181" s="350">
        <f>MATCH(_xlfn.XLOOKUP(K181,[1]梦灵本体产出!$D$30:$D$38,[1]梦灵本体产出!$K$30:$K$38)*Q181*10/[1]梦灵属性!$K$26,[1]梦灵属性!$K$56:$K$104,1)</f>
        <v>28</v>
      </c>
      <c r="AJ181" s="350">
        <f>MATCH(_xlfn.XLOOKUP(L181,[1]梦灵本体产出!$D$30:$D$38,[1]梦灵本体产出!$K$30:$K$38)*R181*10/[1]梦灵属性!$K$26,[1]梦灵属性!$K$56:$K$104,1)</f>
        <v>29</v>
      </c>
      <c r="AK181" s="350">
        <f>MATCH(_xlfn.XLOOKUP(M181,[1]梦灵本体产出!$D$30:$D$38,[1]梦灵本体产出!$K$30:$K$38)*S181*10/[1]梦灵属性!$K$26,[1]梦灵属性!$K$56:$K$104,1)</f>
        <v>34</v>
      </c>
      <c r="AL181" s="350" t="e">
        <f>MATCH(_xlfn.XLOOKUP(N181,[1]梦灵本体产出!$D$30:$D$38,[1]梦灵本体产出!$K$30:$K$38)*T181*10/[1]梦灵属性!$K$26,[1]梦灵属性!$K$56:$K$104,1)</f>
        <v>#N/A</v>
      </c>
      <c r="AM181" s="351"/>
      <c r="AN181" s="266">
        <v>37</v>
      </c>
      <c r="AO181" s="350">
        <f>MATCH(_xlfn.XLOOKUP(K181,[1]梦灵本体产出!$D$30:$D$38,[1]梦灵本体产出!$L$30:$L$38)*Q181*10/[1]梦灵属性!$K$26,[1]梦灵属性!$K$56:$K$104,1)</f>
        <v>19</v>
      </c>
      <c r="AP181" s="350">
        <f>MATCH(_xlfn.XLOOKUP(L181,[1]梦灵本体产出!$D$30:$D$38,[1]梦灵本体产出!$L$30:$L$38)*R181*10/[1]梦灵属性!$K$26,[1]梦灵属性!$K$56:$K$104,1)</f>
        <v>21</v>
      </c>
      <c r="AQ181" s="350">
        <f>MATCH(_xlfn.XLOOKUP(M181,[1]梦灵本体产出!$D$30:$D$38,[1]梦灵本体产出!$L$30:$L$38)*S181*10/[1]梦灵属性!$K$26,[1]梦灵属性!$K$56:$K$104,1)</f>
        <v>27</v>
      </c>
      <c r="AR181" s="350" t="e">
        <f>MATCH(_xlfn.XLOOKUP(N181,[1]梦灵本体产出!$D$30:$D$38,[1]梦灵本体产出!$L$30:$L$38)*T181*10/[1]梦灵属性!$K$26,[1]梦灵属性!$K$56:$K$104,1)</f>
        <v>#N/A</v>
      </c>
      <c r="AS181" s="351"/>
      <c r="AT181" s="266">
        <v>37</v>
      </c>
      <c r="AU181" s="350">
        <f>IFERROR(MATCH(_xlfn.XLOOKUP(K181,[1]梦灵本体产出!$D$30:$D$38,[1]梦灵本体产出!$M$30:$M$38)*Q181*10/[1]梦灵属性!$K$26,[1]梦灵属性!$K$56:$K$104,1),0)</f>
        <v>10</v>
      </c>
      <c r="AV181" s="350">
        <f>IFERROR(MATCH(_xlfn.XLOOKUP(L181,[1]梦灵本体产出!$D$30:$D$38,[1]梦灵本体产出!$M$30:$M$38)*R181*10/[1]梦灵属性!$K$26,[1]梦灵属性!$K$56:$K$104,1),0)</f>
        <v>11</v>
      </c>
      <c r="AW181" s="350">
        <f>IFERROR(MATCH(_xlfn.XLOOKUP(M181,[1]梦灵本体产出!$D$30:$D$38,[1]梦灵本体产出!$M$30:$M$38)*S181*10/[1]梦灵属性!$K$26,[1]梦灵属性!$K$56:$K$104,1),0)</f>
        <v>16</v>
      </c>
      <c r="AX181" s="350">
        <f>IFERROR(MATCH(_xlfn.XLOOKUP(N181,[1]梦灵本体产出!$D$30:$D$38,[1]梦灵本体产出!$M$30:$M$38)*T181*10/[1]梦灵属性!$K$26,[1]梦灵属性!$K$56:$K$104,1),0)</f>
        <v>0</v>
      </c>
      <c r="AZ181" s="80">
        <f t="shared" si="25"/>
        <v>703.2</v>
      </c>
    </row>
    <row r="182" outlineLevel="1" spans="3:52">
      <c r="C182" s="80" t="s">
        <v>451</v>
      </c>
      <c r="D182" s="19">
        <v>38</v>
      </c>
      <c r="E182" s="19" t="s">
        <v>446</v>
      </c>
      <c r="F182" s="19" t="s">
        <v>446</v>
      </c>
      <c r="G182" s="19" t="s">
        <v>448</v>
      </c>
      <c r="H182" s="19" t="s">
        <v>448</v>
      </c>
      <c r="J182" s="19">
        <v>38</v>
      </c>
      <c r="K182" s="19">
        <v>4</v>
      </c>
      <c r="L182" s="19">
        <v>4</v>
      </c>
      <c r="M182" s="19">
        <v>5</v>
      </c>
      <c r="N182" s="19">
        <v>6</v>
      </c>
      <c r="P182" s="19">
        <v>38</v>
      </c>
      <c r="Q182" s="266">
        <v>5008.31428571427</v>
      </c>
      <c r="R182" s="266">
        <v>6177.98095238095</v>
      </c>
      <c r="S182" s="266">
        <v>9510.45714285716</v>
      </c>
      <c r="T182" s="266">
        <v>12308.0714285714</v>
      </c>
      <c r="V182" s="19">
        <v>38</v>
      </c>
      <c r="W182" s="350">
        <f t="shared" si="21"/>
        <v>23100</v>
      </c>
      <c r="X182" s="350">
        <f t="shared" si="22"/>
        <v>30030</v>
      </c>
      <c r="Y182" s="350">
        <f t="shared" si="23"/>
        <v>48048</v>
      </c>
      <c r="Z182" s="350">
        <f t="shared" si="24"/>
        <v>63525</v>
      </c>
      <c r="AB182" s="19">
        <v>38</v>
      </c>
      <c r="AC182" s="350">
        <f>MATCH(_xlfn.XLOOKUP(K182,[1]梦灵本体产出!$D$30:$D$38,[1]梦灵本体产出!$J$30:$J$38)*Q182*10/[1]梦灵属性!$K$26,[1]梦灵属性!$K$56:$K$104,1)</f>
        <v>32</v>
      </c>
      <c r="AD182" s="350">
        <f>MATCH(_xlfn.XLOOKUP(L182,[1]梦灵本体产出!$D$30:$D$38,[1]梦灵本体产出!$J$30:$J$38)*R182*10/[1]梦灵属性!$K$26,[1]梦灵属性!$K$56:$K$104,1)</f>
        <v>34</v>
      </c>
      <c r="AE182" s="350">
        <f>MATCH(_xlfn.XLOOKUP(M182,[1]梦灵本体产出!$D$30:$D$38,[1]梦灵本体产出!$J$30:$J$38)*S182*10/[1]梦灵属性!$K$26,[1]梦灵属性!$K$56:$K$104,1)</f>
        <v>36</v>
      </c>
      <c r="AF182" s="350" t="e">
        <f>MATCH(_xlfn.XLOOKUP(N182,[1]梦灵本体产出!$D$30:$D$38,[1]梦灵本体产出!$J$30:$J$38)*T182*10/[1]梦灵属性!$K$26,[1]梦灵属性!$K$56:$K$104,1)</f>
        <v>#N/A</v>
      </c>
      <c r="AG182" s="351"/>
      <c r="AH182" s="266">
        <v>38</v>
      </c>
      <c r="AI182" s="350">
        <f>MATCH(_xlfn.XLOOKUP(K182,[1]梦灵本体产出!$D$30:$D$38,[1]梦灵本体产出!$K$30:$K$38)*Q182*10/[1]梦灵属性!$K$26,[1]梦灵属性!$K$56:$K$104,1)</f>
        <v>28</v>
      </c>
      <c r="AJ182" s="350">
        <f>MATCH(_xlfn.XLOOKUP(L182,[1]梦灵本体产出!$D$30:$D$38,[1]梦灵本体产出!$K$30:$K$38)*R182*10/[1]梦灵属性!$K$26,[1]梦灵属性!$K$56:$K$104,1)</f>
        <v>30</v>
      </c>
      <c r="AK182" s="350">
        <f>MATCH(_xlfn.XLOOKUP(M182,[1]梦灵本体产出!$D$30:$D$38,[1]梦灵本体产出!$K$30:$K$38)*S182*10/[1]梦灵属性!$K$26,[1]梦灵属性!$K$56:$K$104,1)</f>
        <v>34</v>
      </c>
      <c r="AL182" s="350" t="e">
        <f>MATCH(_xlfn.XLOOKUP(N182,[1]梦灵本体产出!$D$30:$D$38,[1]梦灵本体产出!$K$30:$K$38)*T182*10/[1]梦灵属性!$K$26,[1]梦灵属性!$K$56:$K$104,1)</f>
        <v>#N/A</v>
      </c>
      <c r="AM182" s="351"/>
      <c r="AN182" s="266">
        <v>38</v>
      </c>
      <c r="AO182" s="350">
        <f>MATCH(_xlfn.XLOOKUP(K182,[1]梦灵本体产出!$D$30:$D$38,[1]梦灵本体产出!$L$30:$L$38)*Q182*10/[1]梦灵属性!$K$26,[1]梦灵属性!$K$56:$K$104,1)</f>
        <v>19</v>
      </c>
      <c r="AP182" s="350">
        <f>MATCH(_xlfn.XLOOKUP(L182,[1]梦灵本体产出!$D$30:$D$38,[1]梦灵本体产出!$L$30:$L$38)*R182*10/[1]梦灵属性!$K$26,[1]梦灵属性!$K$56:$K$104,1)</f>
        <v>21</v>
      </c>
      <c r="AQ182" s="350">
        <f>MATCH(_xlfn.XLOOKUP(M182,[1]梦灵本体产出!$D$30:$D$38,[1]梦灵本体产出!$L$30:$L$38)*S182*10/[1]梦灵属性!$K$26,[1]梦灵属性!$K$56:$K$104,1)</f>
        <v>28</v>
      </c>
      <c r="AR182" s="350" t="e">
        <f>MATCH(_xlfn.XLOOKUP(N182,[1]梦灵本体产出!$D$30:$D$38,[1]梦灵本体产出!$L$30:$L$38)*T182*10/[1]梦灵属性!$K$26,[1]梦灵属性!$K$56:$K$104,1)</f>
        <v>#N/A</v>
      </c>
      <c r="AS182" s="351"/>
      <c r="AT182" s="266">
        <v>38</v>
      </c>
      <c r="AU182" s="350">
        <f>IFERROR(MATCH(_xlfn.XLOOKUP(K182,[1]梦灵本体产出!$D$30:$D$38,[1]梦灵本体产出!$M$30:$M$38)*Q182*10/[1]梦灵属性!$K$26,[1]梦灵属性!$K$56:$K$104,1),0)</f>
        <v>10</v>
      </c>
      <c r="AV182" s="350">
        <f>IFERROR(MATCH(_xlfn.XLOOKUP(L182,[1]梦灵本体产出!$D$30:$D$38,[1]梦灵本体产出!$M$30:$M$38)*R182*10/[1]梦灵属性!$K$26,[1]梦灵属性!$K$56:$K$104,1),0)</f>
        <v>11</v>
      </c>
      <c r="AW182" s="350">
        <f>IFERROR(MATCH(_xlfn.XLOOKUP(M182,[1]梦灵本体产出!$D$30:$D$38,[1]梦灵本体产出!$M$30:$M$38)*S182*10/[1]梦灵属性!$K$26,[1]梦灵属性!$K$56:$K$104,1),0)</f>
        <v>16</v>
      </c>
      <c r="AX182" s="350">
        <f>IFERROR(MATCH(_xlfn.XLOOKUP(N182,[1]梦灵本体产出!$D$30:$D$38,[1]梦灵本体产出!$M$30:$M$38)*T182*10/[1]梦灵属性!$K$26,[1]梦灵属性!$K$56:$K$104,1),0)</f>
        <v>0</v>
      </c>
      <c r="AZ182" s="80">
        <f t="shared" si="25"/>
        <v>703.2</v>
      </c>
    </row>
    <row r="183" outlineLevel="1" spans="3:52">
      <c r="C183" s="80" t="s">
        <v>451</v>
      </c>
      <c r="D183" s="19">
        <v>39</v>
      </c>
      <c r="E183" s="19" t="s">
        <v>446</v>
      </c>
      <c r="F183" s="19" t="s">
        <v>446</v>
      </c>
      <c r="G183" s="19" t="s">
        <v>448</v>
      </c>
      <c r="H183" s="19" t="s">
        <v>448</v>
      </c>
      <c r="J183" s="19">
        <v>39</v>
      </c>
      <c r="K183" s="19">
        <v>4</v>
      </c>
      <c r="L183" s="19">
        <v>5</v>
      </c>
      <c r="M183" s="19">
        <v>5</v>
      </c>
      <c r="N183" s="19">
        <v>6</v>
      </c>
      <c r="P183" s="19">
        <v>39</v>
      </c>
      <c r="Q183" s="266">
        <v>5122.0857142857</v>
      </c>
      <c r="R183" s="266">
        <v>6321.08571428571</v>
      </c>
      <c r="S183" s="266">
        <v>9738.94285714287</v>
      </c>
      <c r="T183" s="266">
        <v>12610.1785714286</v>
      </c>
      <c r="V183" s="19">
        <v>39</v>
      </c>
      <c r="W183" s="350">
        <f t="shared" si="21"/>
        <v>23100</v>
      </c>
      <c r="X183" s="350">
        <f t="shared" si="22"/>
        <v>30030</v>
      </c>
      <c r="Y183" s="350">
        <f t="shared" si="23"/>
        <v>48048</v>
      </c>
      <c r="Z183" s="350">
        <f t="shared" si="24"/>
        <v>63525</v>
      </c>
      <c r="AB183" s="19">
        <v>39</v>
      </c>
      <c r="AC183" s="350">
        <f>MATCH(_xlfn.XLOOKUP(K183,[1]梦灵本体产出!$D$30:$D$38,[1]梦灵本体产出!$J$30:$J$38)*Q183*10/[1]梦灵属性!$K$26,[1]梦灵属性!$K$56:$K$104,1)</f>
        <v>32</v>
      </c>
      <c r="AD183" s="350">
        <f>MATCH(_xlfn.XLOOKUP(L183,[1]梦灵本体产出!$D$30:$D$38,[1]梦灵本体产出!$J$30:$J$38)*R183*10/[1]梦灵属性!$K$26,[1]梦灵属性!$K$56:$K$104,1)</f>
        <v>32</v>
      </c>
      <c r="AE183" s="350">
        <f>MATCH(_xlfn.XLOOKUP(M183,[1]梦灵本体产出!$D$30:$D$38,[1]梦灵本体产出!$J$30:$J$38)*S183*10/[1]梦灵属性!$K$26,[1]梦灵属性!$K$56:$K$104,1)</f>
        <v>36</v>
      </c>
      <c r="AF183" s="350" t="e">
        <f>MATCH(_xlfn.XLOOKUP(N183,[1]梦灵本体产出!$D$30:$D$38,[1]梦灵本体产出!$J$30:$J$38)*T183*10/[1]梦灵属性!$K$26,[1]梦灵属性!$K$56:$K$104,1)</f>
        <v>#N/A</v>
      </c>
      <c r="AG183" s="351"/>
      <c r="AH183" s="266">
        <v>39</v>
      </c>
      <c r="AI183" s="350">
        <f>MATCH(_xlfn.XLOOKUP(K183,[1]梦灵本体产出!$D$30:$D$38,[1]梦灵本体产出!$K$30:$K$38)*Q183*10/[1]梦灵属性!$K$26,[1]梦灵属性!$K$56:$K$104,1)</f>
        <v>28</v>
      </c>
      <c r="AJ183" s="350">
        <f>MATCH(_xlfn.XLOOKUP(L183,[1]梦灵本体产出!$D$30:$D$38,[1]梦灵本体产出!$K$30:$K$38)*R183*10/[1]梦灵属性!$K$26,[1]梦灵属性!$K$56:$K$104,1)</f>
        <v>31</v>
      </c>
      <c r="AK183" s="350">
        <f>MATCH(_xlfn.XLOOKUP(M183,[1]梦灵本体产出!$D$30:$D$38,[1]梦灵本体产出!$K$30:$K$38)*S183*10/[1]梦灵属性!$K$26,[1]梦灵属性!$K$56:$K$104,1)</f>
        <v>34</v>
      </c>
      <c r="AL183" s="350" t="e">
        <f>MATCH(_xlfn.XLOOKUP(N183,[1]梦灵本体产出!$D$30:$D$38,[1]梦灵本体产出!$K$30:$K$38)*T183*10/[1]梦灵属性!$K$26,[1]梦灵属性!$K$56:$K$104,1)</f>
        <v>#N/A</v>
      </c>
      <c r="AM183" s="351"/>
      <c r="AN183" s="266">
        <v>39</v>
      </c>
      <c r="AO183" s="350">
        <f>MATCH(_xlfn.XLOOKUP(K183,[1]梦灵本体产出!$D$30:$D$38,[1]梦灵本体产出!$L$30:$L$38)*Q183*10/[1]梦灵属性!$K$26,[1]梦灵属性!$K$56:$K$104,1)</f>
        <v>19</v>
      </c>
      <c r="AP183" s="350">
        <f>MATCH(_xlfn.XLOOKUP(L183,[1]梦灵本体产出!$D$30:$D$38,[1]梦灵本体产出!$L$30:$L$38)*R183*10/[1]梦灵属性!$K$26,[1]梦灵属性!$K$56:$K$104,1)</f>
        <v>24</v>
      </c>
      <c r="AQ183" s="350">
        <f>MATCH(_xlfn.XLOOKUP(M183,[1]梦灵本体产出!$D$30:$D$38,[1]梦灵本体产出!$L$30:$L$38)*S183*10/[1]梦灵属性!$K$26,[1]梦灵属性!$K$56:$K$104,1)</f>
        <v>28</v>
      </c>
      <c r="AR183" s="350" t="e">
        <f>MATCH(_xlfn.XLOOKUP(N183,[1]梦灵本体产出!$D$30:$D$38,[1]梦灵本体产出!$L$30:$L$38)*T183*10/[1]梦灵属性!$K$26,[1]梦灵属性!$K$56:$K$104,1)</f>
        <v>#N/A</v>
      </c>
      <c r="AS183" s="351"/>
      <c r="AT183" s="266">
        <v>39</v>
      </c>
      <c r="AU183" s="350">
        <f>IFERROR(MATCH(_xlfn.XLOOKUP(K183,[1]梦灵本体产出!$D$30:$D$38,[1]梦灵本体产出!$M$30:$M$38)*Q183*10/[1]梦灵属性!$K$26,[1]梦灵属性!$K$56:$K$104,1),0)</f>
        <v>10</v>
      </c>
      <c r="AV183" s="350">
        <f>IFERROR(MATCH(_xlfn.XLOOKUP(L183,[1]梦灵本体产出!$D$30:$D$38,[1]梦灵本体产出!$M$30:$M$38)*R183*10/[1]梦灵属性!$K$26,[1]梦灵属性!$K$56:$K$104,1),0)</f>
        <v>13</v>
      </c>
      <c r="AW183" s="350">
        <f>IFERROR(MATCH(_xlfn.XLOOKUP(M183,[1]梦灵本体产出!$D$30:$D$38,[1]梦灵本体产出!$M$30:$M$38)*S183*10/[1]梦灵属性!$K$26,[1]梦灵属性!$K$56:$K$104,1),0)</f>
        <v>16</v>
      </c>
      <c r="AX183" s="350">
        <f>IFERROR(MATCH(_xlfn.XLOOKUP(N183,[1]梦灵本体产出!$D$30:$D$38,[1]梦灵本体产出!$M$30:$M$38)*T183*10/[1]梦灵属性!$K$26,[1]梦灵属性!$K$56:$K$104,1),0)</f>
        <v>0</v>
      </c>
      <c r="AZ183" s="80">
        <f t="shared" si="25"/>
        <v>703.2</v>
      </c>
    </row>
    <row r="184" outlineLevel="1" spans="3:52">
      <c r="C184" s="80" t="s">
        <v>451</v>
      </c>
      <c r="D184" s="19">
        <v>40</v>
      </c>
      <c r="E184" s="19" t="s">
        <v>446</v>
      </c>
      <c r="F184" s="19" t="s">
        <v>447</v>
      </c>
      <c r="G184" s="19" t="s">
        <v>448</v>
      </c>
      <c r="H184" s="19" t="s">
        <v>448</v>
      </c>
      <c r="J184" s="19">
        <v>40</v>
      </c>
      <c r="K184" s="19">
        <v>4</v>
      </c>
      <c r="L184" s="19">
        <v>5</v>
      </c>
      <c r="M184" s="19">
        <v>5</v>
      </c>
      <c r="N184" s="19">
        <v>6</v>
      </c>
      <c r="P184" s="19">
        <v>40</v>
      </c>
      <c r="Q184" s="266">
        <v>5235.85714285712</v>
      </c>
      <c r="R184" s="266">
        <v>6464.19047619047</v>
      </c>
      <c r="S184" s="266">
        <v>9967.42857142859</v>
      </c>
      <c r="T184" s="266">
        <v>12912.2857142857</v>
      </c>
      <c r="V184" s="19">
        <v>40</v>
      </c>
      <c r="W184" s="350">
        <f t="shared" si="21"/>
        <v>23100</v>
      </c>
      <c r="X184" s="350">
        <f t="shared" si="22"/>
        <v>30030</v>
      </c>
      <c r="Y184" s="350">
        <f t="shared" si="23"/>
        <v>48048</v>
      </c>
      <c r="Z184" s="350">
        <f t="shared" si="24"/>
        <v>63525</v>
      </c>
      <c r="AB184" s="19">
        <v>40</v>
      </c>
      <c r="AC184" s="350">
        <f>MATCH(_xlfn.XLOOKUP(K184,[1]梦灵本体产出!$D$30:$D$38,[1]梦灵本体产出!$J$30:$J$38)*Q184*10/[1]梦灵属性!$K$26,[1]梦灵属性!$K$56:$K$104,1)</f>
        <v>32</v>
      </c>
      <c r="AD184" s="350">
        <f>MATCH(_xlfn.XLOOKUP(L184,[1]梦灵本体产出!$D$30:$D$38,[1]梦灵本体产出!$J$30:$J$38)*R184*10/[1]梦灵属性!$K$26,[1]梦灵属性!$K$56:$K$104,1)</f>
        <v>33</v>
      </c>
      <c r="AE184" s="350">
        <f>MATCH(_xlfn.XLOOKUP(M184,[1]梦灵本体产出!$D$30:$D$38,[1]梦灵本体产出!$J$30:$J$38)*S184*10/[1]梦灵属性!$K$26,[1]梦灵属性!$K$56:$K$104,1)</f>
        <v>36</v>
      </c>
      <c r="AF184" s="350" t="e">
        <f>MATCH(_xlfn.XLOOKUP(N184,[1]梦灵本体产出!$D$30:$D$38,[1]梦灵本体产出!$J$30:$J$38)*T184*10/[1]梦灵属性!$K$26,[1]梦灵属性!$K$56:$K$104,1)</f>
        <v>#N/A</v>
      </c>
      <c r="AG184" s="351"/>
      <c r="AH184" s="266">
        <v>40</v>
      </c>
      <c r="AI184" s="350">
        <f>MATCH(_xlfn.XLOOKUP(K184,[1]梦灵本体产出!$D$30:$D$38,[1]梦灵本体产出!$K$30:$K$38)*Q184*10/[1]梦灵属性!$K$26,[1]梦灵属性!$K$56:$K$104,1)</f>
        <v>29</v>
      </c>
      <c r="AJ184" s="350">
        <f>MATCH(_xlfn.XLOOKUP(L184,[1]梦灵本体产出!$D$30:$D$38,[1]梦灵本体产出!$K$30:$K$38)*R184*10/[1]梦灵属性!$K$26,[1]梦灵属性!$K$56:$K$104,1)</f>
        <v>31</v>
      </c>
      <c r="AK184" s="350">
        <f>MATCH(_xlfn.XLOOKUP(M184,[1]梦灵本体产出!$D$30:$D$38,[1]梦灵本体产出!$K$30:$K$38)*S184*10/[1]梦灵属性!$K$26,[1]梦灵属性!$K$56:$K$104,1)</f>
        <v>35</v>
      </c>
      <c r="AL184" s="350" t="e">
        <f>MATCH(_xlfn.XLOOKUP(N184,[1]梦灵本体产出!$D$30:$D$38,[1]梦灵本体产出!$K$30:$K$38)*T184*10/[1]梦灵属性!$K$26,[1]梦灵属性!$K$56:$K$104,1)</f>
        <v>#N/A</v>
      </c>
      <c r="AM184" s="351"/>
      <c r="AN184" s="266">
        <v>40</v>
      </c>
      <c r="AO184" s="350">
        <f>MATCH(_xlfn.XLOOKUP(K184,[1]梦灵本体产出!$D$30:$D$38,[1]梦灵本体产出!$L$30:$L$38)*Q184*10/[1]梦灵属性!$K$26,[1]梦灵属性!$K$56:$K$104,1)</f>
        <v>19</v>
      </c>
      <c r="AP184" s="350">
        <f>MATCH(_xlfn.XLOOKUP(L184,[1]梦灵本体产出!$D$30:$D$38,[1]梦灵本体产出!$L$30:$L$38)*R184*10/[1]梦灵属性!$K$26,[1]梦灵属性!$K$56:$K$104,1)</f>
        <v>24</v>
      </c>
      <c r="AQ184" s="350">
        <f>MATCH(_xlfn.XLOOKUP(M184,[1]梦灵本体产出!$D$30:$D$38,[1]梦灵本体产出!$L$30:$L$38)*S184*10/[1]梦灵属性!$K$26,[1]梦灵属性!$K$56:$K$104,1)</f>
        <v>28</v>
      </c>
      <c r="AR184" s="350" t="e">
        <f>MATCH(_xlfn.XLOOKUP(N184,[1]梦灵本体产出!$D$30:$D$38,[1]梦灵本体产出!$L$30:$L$38)*T184*10/[1]梦灵属性!$K$26,[1]梦灵属性!$K$56:$K$104,1)</f>
        <v>#N/A</v>
      </c>
      <c r="AS184" s="351"/>
      <c r="AT184" s="266">
        <v>40</v>
      </c>
      <c r="AU184" s="350">
        <f>IFERROR(MATCH(_xlfn.XLOOKUP(K184,[1]梦灵本体产出!$D$30:$D$38,[1]梦灵本体产出!$M$30:$M$38)*Q184*10/[1]梦灵属性!$K$26,[1]梦灵属性!$K$56:$K$104,1),0)</f>
        <v>10</v>
      </c>
      <c r="AV184" s="350">
        <f>IFERROR(MATCH(_xlfn.XLOOKUP(L184,[1]梦灵本体产出!$D$30:$D$38,[1]梦灵本体产出!$M$30:$M$38)*R184*10/[1]梦灵属性!$K$26,[1]梦灵属性!$K$56:$K$104,1),0)</f>
        <v>14</v>
      </c>
      <c r="AW184" s="350">
        <f>IFERROR(MATCH(_xlfn.XLOOKUP(M184,[1]梦灵本体产出!$D$30:$D$38,[1]梦灵本体产出!$M$30:$M$38)*S184*10/[1]梦灵属性!$K$26,[1]梦灵属性!$K$56:$K$104,1),0)</f>
        <v>17</v>
      </c>
      <c r="AX184" s="350">
        <f>IFERROR(MATCH(_xlfn.XLOOKUP(N184,[1]梦灵本体产出!$D$30:$D$38,[1]梦灵本体产出!$M$30:$M$38)*T184*10/[1]梦灵属性!$K$26,[1]梦灵属性!$K$56:$K$104,1),0)</f>
        <v>0</v>
      </c>
      <c r="AZ184" s="80">
        <f t="shared" si="25"/>
        <v>710.4</v>
      </c>
    </row>
    <row r="185" outlineLevel="1" spans="3:52">
      <c r="C185" s="80" t="s">
        <v>451</v>
      </c>
      <c r="D185" s="19">
        <v>41</v>
      </c>
      <c r="E185" s="19" t="s">
        <v>446</v>
      </c>
      <c r="F185" s="19" t="s">
        <v>447</v>
      </c>
      <c r="G185" s="19" t="s">
        <v>448</v>
      </c>
      <c r="H185" s="19" t="s">
        <v>448</v>
      </c>
      <c r="J185" s="19">
        <v>41</v>
      </c>
      <c r="K185" s="19">
        <v>4</v>
      </c>
      <c r="L185" s="19">
        <v>5</v>
      </c>
      <c r="M185" s="19">
        <v>5</v>
      </c>
      <c r="N185" s="19">
        <v>6</v>
      </c>
      <c r="P185" s="19">
        <v>41</v>
      </c>
      <c r="Q185" s="266">
        <v>5349.62857142855</v>
      </c>
      <c r="R185" s="266">
        <v>6607.29523809523</v>
      </c>
      <c r="S185" s="266">
        <v>10195.9142857143</v>
      </c>
      <c r="T185" s="266">
        <v>13214.3928571429</v>
      </c>
      <c r="V185" s="19">
        <v>41</v>
      </c>
      <c r="W185" s="350">
        <f t="shared" si="21"/>
        <v>23100</v>
      </c>
      <c r="X185" s="350">
        <f t="shared" si="22"/>
        <v>30030</v>
      </c>
      <c r="Y185" s="350">
        <f t="shared" si="23"/>
        <v>48048</v>
      </c>
      <c r="Z185" s="350">
        <f t="shared" si="24"/>
        <v>63525</v>
      </c>
      <c r="AB185" s="19">
        <v>41</v>
      </c>
      <c r="AC185" s="350">
        <f>MATCH(_xlfn.XLOOKUP(K185,[1]梦灵本体产出!$D$30:$D$38,[1]梦灵本体产出!$J$30:$J$38)*Q185*10/[1]梦灵属性!$K$26,[1]梦灵属性!$K$56:$K$104,1)</f>
        <v>33</v>
      </c>
      <c r="AD185" s="350">
        <f>MATCH(_xlfn.XLOOKUP(L185,[1]梦灵本体产出!$D$30:$D$38,[1]梦灵本体产出!$J$30:$J$38)*R185*10/[1]梦灵属性!$K$26,[1]梦灵属性!$K$56:$K$104,1)</f>
        <v>33</v>
      </c>
      <c r="AE185" s="350">
        <f>MATCH(_xlfn.XLOOKUP(M185,[1]梦灵本体产出!$D$30:$D$38,[1]梦灵本体产出!$J$30:$J$38)*S185*10/[1]梦灵属性!$K$26,[1]梦灵属性!$K$56:$K$104,1)</f>
        <v>37</v>
      </c>
      <c r="AF185" s="350" t="e">
        <f>MATCH(_xlfn.XLOOKUP(N185,[1]梦灵本体产出!$D$30:$D$38,[1]梦灵本体产出!$J$30:$J$38)*T185*10/[1]梦灵属性!$K$26,[1]梦灵属性!$K$56:$K$104,1)</f>
        <v>#N/A</v>
      </c>
      <c r="AG185" s="351"/>
      <c r="AH185" s="266">
        <v>41</v>
      </c>
      <c r="AI185" s="350">
        <f>MATCH(_xlfn.XLOOKUP(K185,[1]梦灵本体产出!$D$30:$D$38,[1]梦灵本体产出!$K$30:$K$38)*Q185*10/[1]梦灵属性!$K$26,[1]梦灵属性!$K$56:$K$104,1)</f>
        <v>29</v>
      </c>
      <c r="AJ185" s="350">
        <f>MATCH(_xlfn.XLOOKUP(L185,[1]梦灵本体产出!$D$30:$D$38,[1]梦灵本体产出!$K$30:$K$38)*R185*10/[1]梦灵属性!$K$26,[1]梦灵属性!$K$56:$K$104,1)</f>
        <v>31</v>
      </c>
      <c r="AK185" s="350">
        <f>MATCH(_xlfn.XLOOKUP(M185,[1]梦灵本体产出!$D$30:$D$38,[1]梦灵本体产出!$K$30:$K$38)*S185*10/[1]梦灵属性!$K$26,[1]梦灵属性!$K$56:$K$104,1)</f>
        <v>35</v>
      </c>
      <c r="AL185" s="350" t="e">
        <f>MATCH(_xlfn.XLOOKUP(N185,[1]梦灵本体产出!$D$30:$D$38,[1]梦灵本体产出!$K$30:$K$38)*T185*10/[1]梦灵属性!$K$26,[1]梦灵属性!$K$56:$K$104,1)</f>
        <v>#N/A</v>
      </c>
      <c r="AM185" s="351"/>
      <c r="AN185" s="266">
        <v>41</v>
      </c>
      <c r="AO185" s="350">
        <f>MATCH(_xlfn.XLOOKUP(K185,[1]梦灵本体产出!$D$30:$D$38,[1]梦灵本体产出!$L$30:$L$38)*Q185*10/[1]梦灵属性!$K$26,[1]梦灵属性!$K$56:$K$104,1)</f>
        <v>20</v>
      </c>
      <c r="AP185" s="350">
        <f>MATCH(_xlfn.XLOOKUP(L185,[1]梦灵本体产出!$D$30:$D$38,[1]梦灵本体产出!$L$30:$L$38)*R185*10/[1]梦灵属性!$K$26,[1]梦灵属性!$K$56:$K$104,1)</f>
        <v>24</v>
      </c>
      <c r="AQ185" s="350">
        <f>MATCH(_xlfn.XLOOKUP(M185,[1]梦灵本体产出!$D$30:$D$38,[1]梦灵本体产出!$L$30:$L$38)*S185*10/[1]梦灵属性!$K$26,[1]梦灵属性!$K$56:$K$104,1)</f>
        <v>28</v>
      </c>
      <c r="AR185" s="350" t="e">
        <f>MATCH(_xlfn.XLOOKUP(N185,[1]梦灵本体产出!$D$30:$D$38,[1]梦灵本体产出!$L$30:$L$38)*T185*10/[1]梦灵属性!$K$26,[1]梦灵属性!$K$56:$K$104,1)</f>
        <v>#N/A</v>
      </c>
      <c r="AS185" s="351"/>
      <c r="AT185" s="266">
        <v>41</v>
      </c>
      <c r="AU185" s="350">
        <f>IFERROR(MATCH(_xlfn.XLOOKUP(K185,[1]梦灵本体产出!$D$30:$D$38,[1]梦灵本体产出!$M$30:$M$38)*Q185*10/[1]梦灵属性!$K$26,[1]梦灵属性!$K$56:$K$104,1),0)</f>
        <v>10</v>
      </c>
      <c r="AV185" s="350">
        <f>IFERROR(MATCH(_xlfn.XLOOKUP(L185,[1]梦灵本体产出!$D$30:$D$38,[1]梦灵本体产出!$M$30:$M$38)*R185*10/[1]梦灵属性!$K$26,[1]梦灵属性!$K$56:$K$104,1),0)</f>
        <v>14</v>
      </c>
      <c r="AW185" s="350">
        <f>IFERROR(MATCH(_xlfn.XLOOKUP(M185,[1]梦灵本体产出!$D$30:$D$38,[1]梦灵本体产出!$M$30:$M$38)*S185*10/[1]梦灵属性!$K$26,[1]梦灵属性!$K$56:$K$104,1),0)</f>
        <v>17</v>
      </c>
      <c r="AX185" s="350">
        <f>IFERROR(MATCH(_xlfn.XLOOKUP(N185,[1]梦灵本体产出!$D$30:$D$38,[1]梦灵本体产出!$M$30:$M$38)*T185*10/[1]梦灵属性!$K$26,[1]梦灵属性!$K$56:$K$104,1),0)</f>
        <v>0</v>
      </c>
      <c r="AZ185" s="80">
        <f t="shared" si="25"/>
        <v>721.8</v>
      </c>
    </row>
    <row r="186" outlineLevel="1" spans="3:52">
      <c r="C186" s="80" t="s">
        <v>451</v>
      </c>
      <c r="D186" s="19">
        <v>42</v>
      </c>
      <c r="E186" s="19" t="s">
        <v>446</v>
      </c>
      <c r="F186" s="19" t="s">
        <v>447</v>
      </c>
      <c r="G186" s="19" t="s">
        <v>448</v>
      </c>
      <c r="H186" s="19" t="s">
        <v>448</v>
      </c>
      <c r="J186" s="19">
        <v>42</v>
      </c>
      <c r="K186" s="19">
        <v>4</v>
      </c>
      <c r="L186" s="19">
        <v>5</v>
      </c>
      <c r="M186" s="19">
        <v>6</v>
      </c>
      <c r="N186" s="19">
        <v>6</v>
      </c>
      <c r="P186" s="19">
        <v>42</v>
      </c>
      <c r="Q186" s="266">
        <v>5463.39999999998</v>
      </c>
      <c r="R186" s="266">
        <v>6750.4</v>
      </c>
      <c r="S186" s="266">
        <v>10424.4</v>
      </c>
      <c r="T186" s="266">
        <v>13516.5</v>
      </c>
      <c r="V186" s="19">
        <v>42</v>
      </c>
      <c r="W186" s="350">
        <f t="shared" ref="W186:W195" si="26">100*30*1.1*7</f>
        <v>23100</v>
      </c>
      <c r="X186" s="350">
        <f t="shared" ref="X186:X195" si="27">130*1.1*30*7</f>
        <v>30030</v>
      </c>
      <c r="Y186" s="350">
        <f t="shared" ref="Y186:Y195" si="28">208*1.1*30*7</f>
        <v>48048</v>
      </c>
      <c r="Z186" s="350">
        <f t="shared" ref="Z186:Z195" si="29">275*1.1*30*7</f>
        <v>63525</v>
      </c>
      <c r="AB186" s="19">
        <v>42</v>
      </c>
      <c r="AC186" s="350">
        <f>MATCH(_xlfn.XLOOKUP(K186,[1]梦灵本体产出!$D$30:$D$38,[1]梦灵本体产出!$J$30:$J$38)*Q186*10/[1]梦灵属性!$K$26,[1]梦灵属性!$K$56:$K$104,1)</f>
        <v>33</v>
      </c>
      <c r="AD186" s="350">
        <f>MATCH(_xlfn.XLOOKUP(L186,[1]梦灵本体产出!$D$30:$D$38,[1]梦灵本体产出!$J$30:$J$38)*R186*10/[1]梦灵属性!$K$26,[1]梦灵属性!$K$56:$K$104,1)</f>
        <v>33</v>
      </c>
      <c r="AE186" s="350" t="e">
        <f>MATCH(_xlfn.XLOOKUP(M186,[1]梦灵本体产出!$D$30:$D$38,[1]梦灵本体产出!$J$30:$J$38)*S186*10/[1]梦灵属性!$K$26,[1]梦灵属性!$K$56:$K$104,1)</f>
        <v>#N/A</v>
      </c>
      <c r="AF186" s="350" t="e">
        <f>MATCH(_xlfn.XLOOKUP(N186,[1]梦灵本体产出!$D$30:$D$38,[1]梦灵本体产出!$J$30:$J$38)*T186*10/[1]梦灵属性!$K$26,[1]梦灵属性!$K$56:$K$104,1)</f>
        <v>#N/A</v>
      </c>
      <c r="AG186" s="351"/>
      <c r="AH186" s="266">
        <v>42</v>
      </c>
      <c r="AI186" s="350">
        <f>MATCH(_xlfn.XLOOKUP(K186,[1]梦灵本体产出!$D$30:$D$38,[1]梦灵本体产出!$K$30:$K$38)*Q186*10/[1]梦灵属性!$K$26,[1]梦灵属性!$K$56:$K$104,1)</f>
        <v>29</v>
      </c>
      <c r="AJ186" s="350">
        <f>MATCH(_xlfn.XLOOKUP(L186,[1]梦灵本体产出!$D$30:$D$38,[1]梦灵本体产出!$K$30:$K$38)*R186*10/[1]梦灵属性!$K$26,[1]梦灵属性!$K$56:$K$104,1)</f>
        <v>31</v>
      </c>
      <c r="AK186" s="350" t="e">
        <f>MATCH(_xlfn.XLOOKUP(M186,[1]梦灵本体产出!$D$30:$D$38,[1]梦灵本体产出!$K$30:$K$38)*S186*10/[1]梦灵属性!$K$26,[1]梦灵属性!$K$56:$K$104,1)</f>
        <v>#N/A</v>
      </c>
      <c r="AL186" s="350" t="e">
        <f>MATCH(_xlfn.XLOOKUP(N186,[1]梦灵本体产出!$D$30:$D$38,[1]梦灵本体产出!$K$30:$K$38)*T186*10/[1]梦灵属性!$K$26,[1]梦灵属性!$K$56:$K$104,1)</f>
        <v>#N/A</v>
      </c>
      <c r="AM186" s="351"/>
      <c r="AN186" s="266">
        <v>42</v>
      </c>
      <c r="AO186" s="350">
        <f>MATCH(_xlfn.XLOOKUP(K186,[1]梦灵本体产出!$D$30:$D$38,[1]梦灵本体产出!$L$30:$L$38)*Q186*10/[1]梦灵属性!$K$26,[1]梦灵属性!$K$56:$K$104,1)</f>
        <v>20</v>
      </c>
      <c r="AP186" s="350">
        <f>MATCH(_xlfn.XLOOKUP(L186,[1]梦灵本体产出!$D$30:$D$38,[1]梦灵本体产出!$L$30:$L$38)*R186*10/[1]梦灵属性!$K$26,[1]梦灵属性!$K$56:$K$104,1)</f>
        <v>25</v>
      </c>
      <c r="AQ186" s="350" t="e">
        <f>MATCH(_xlfn.XLOOKUP(M186,[1]梦灵本体产出!$D$30:$D$38,[1]梦灵本体产出!$L$30:$L$38)*S186*10/[1]梦灵属性!$K$26,[1]梦灵属性!$K$56:$K$104,1)</f>
        <v>#N/A</v>
      </c>
      <c r="AR186" s="350" t="e">
        <f>MATCH(_xlfn.XLOOKUP(N186,[1]梦灵本体产出!$D$30:$D$38,[1]梦灵本体产出!$L$30:$L$38)*T186*10/[1]梦灵属性!$K$26,[1]梦灵属性!$K$56:$K$104,1)</f>
        <v>#N/A</v>
      </c>
      <c r="AS186" s="351"/>
      <c r="AT186" s="266">
        <v>42</v>
      </c>
      <c r="AU186" s="350">
        <f>IFERROR(MATCH(_xlfn.XLOOKUP(K186,[1]梦灵本体产出!$D$30:$D$38,[1]梦灵本体产出!$M$30:$M$38)*Q186*10/[1]梦灵属性!$K$26,[1]梦灵属性!$K$56:$K$104,1),0)</f>
        <v>10</v>
      </c>
      <c r="AV186" s="350">
        <f>IFERROR(MATCH(_xlfn.XLOOKUP(L186,[1]梦灵本体产出!$D$30:$D$38,[1]梦灵本体产出!$M$30:$M$38)*R186*10/[1]梦灵属性!$K$26,[1]梦灵属性!$K$56:$K$104,1),0)</f>
        <v>14</v>
      </c>
      <c r="AW186" s="350">
        <f>IFERROR(MATCH(_xlfn.XLOOKUP(M186,[1]梦灵本体产出!$D$30:$D$38,[1]梦灵本体产出!$M$30:$M$38)*S186*10/[1]梦灵属性!$K$26,[1]梦灵属性!$K$56:$K$104,1),0)</f>
        <v>0</v>
      </c>
      <c r="AX186" s="350">
        <f>IFERROR(MATCH(_xlfn.XLOOKUP(N186,[1]梦灵本体产出!$D$30:$D$38,[1]梦灵本体产出!$M$30:$M$38)*T186*10/[1]梦灵属性!$K$26,[1]梦灵属性!$K$56:$K$104,1),0)</f>
        <v>0</v>
      </c>
      <c r="AZ186" s="80">
        <f t="shared" si="25"/>
        <v>721.8</v>
      </c>
    </row>
    <row r="187" outlineLevel="1" spans="3:52">
      <c r="C187" s="80" t="s">
        <v>451</v>
      </c>
      <c r="D187" s="19">
        <v>43</v>
      </c>
      <c r="E187" s="19" t="s">
        <v>446</v>
      </c>
      <c r="F187" s="19" t="s">
        <v>447</v>
      </c>
      <c r="G187" s="19" t="s">
        <v>448</v>
      </c>
      <c r="H187" s="19" t="s">
        <v>448</v>
      </c>
      <c r="J187" s="19">
        <v>43</v>
      </c>
      <c r="K187" s="19">
        <v>4</v>
      </c>
      <c r="L187" s="19">
        <v>5</v>
      </c>
      <c r="M187" s="19">
        <v>6</v>
      </c>
      <c r="N187" s="19">
        <v>6</v>
      </c>
      <c r="P187" s="19">
        <v>43</v>
      </c>
      <c r="Q187" s="266">
        <v>5577.17142857141</v>
      </c>
      <c r="R187" s="266">
        <v>6893.50476190476</v>
      </c>
      <c r="S187" s="266">
        <v>10652.8857142857</v>
      </c>
      <c r="T187" s="266">
        <v>13818.6071428571</v>
      </c>
      <c r="V187" s="19">
        <v>43</v>
      </c>
      <c r="W187" s="350">
        <f t="shared" si="26"/>
        <v>23100</v>
      </c>
      <c r="X187" s="350">
        <f t="shared" si="27"/>
        <v>30030</v>
      </c>
      <c r="Y187" s="350">
        <f t="shared" si="28"/>
        <v>48048</v>
      </c>
      <c r="Z187" s="350">
        <f t="shared" si="29"/>
        <v>63525</v>
      </c>
      <c r="AB187" s="19">
        <v>43</v>
      </c>
      <c r="AC187" s="350">
        <f>MATCH(_xlfn.XLOOKUP(K187,[1]梦灵本体产出!$D$30:$D$38,[1]梦灵本体产出!$J$30:$J$38)*Q187*10/[1]梦灵属性!$K$26,[1]梦灵属性!$K$56:$K$104,1)</f>
        <v>33</v>
      </c>
      <c r="AD187" s="350">
        <f>MATCH(_xlfn.XLOOKUP(L187,[1]梦灵本体产出!$D$30:$D$38,[1]梦灵本体产出!$J$30:$J$38)*R187*10/[1]梦灵属性!$K$26,[1]梦灵属性!$K$56:$K$104,1)</f>
        <v>33</v>
      </c>
      <c r="AE187" s="350" t="e">
        <f>MATCH(_xlfn.XLOOKUP(M187,[1]梦灵本体产出!$D$30:$D$38,[1]梦灵本体产出!$J$30:$J$38)*S187*10/[1]梦灵属性!$K$26,[1]梦灵属性!$K$56:$K$104,1)</f>
        <v>#N/A</v>
      </c>
      <c r="AF187" s="350" t="e">
        <f>MATCH(_xlfn.XLOOKUP(N187,[1]梦灵本体产出!$D$30:$D$38,[1]梦灵本体产出!$J$30:$J$38)*T187*10/[1]梦灵属性!$K$26,[1]梦灵属性!$K$56:$K$104,1)</f>
        <v>#N/A</v>
      </c>
      <c r="AG187" s="351"/>
      <c r="AH187" s="266">
        <v>43</v>
      </c>
      <c r="AI187" s="350">
        <f>MATCH(_xlfn.XLOOKUP(K187,[1]梦灵本体产出!$D$30:$D$38,[1]梦灵本体产出!$K$30:$K$38)*Q187*10/[1]梦灵属性!$K$26,[1]梦灵属性!$K$56:$K$104,1)</f>
        <v>29</v>
      </c>
      <c r="AJ187" s="350">
        <f>MATCH(_xlfn.XLOOKUP(L187,[1]梦灵本体产出!$D$30:$D$38,[1]梦灵本体产出!$K$30:$K$38)*R187*10/[1]梦灵属性!$K$26,[1]梦灵属性!$K$56:$K$104,1)</f>
        <v>31</v>
      </c>
      <c r="AK187" s="350" t="e">
        <f>MATCH(_xlfn.XLOOKUP(M187,[1]梦灵本体产出!$D$30:$D$38,[1]梦灵本体产出!$K$30:$K$38)*S187*10/[1]梦灵属性!$K$26,[1]梦灵属性!$K$56:$K$104,1)</f>
        <v>#N/A</v>
      </c>
      <c r="AL187" s="350" t="e">
        <f>MATCH(_xlfn.XLOOKUP(N187,[1]梦灵本体产出!$D$30:$D$38,[1]梦灵本体产出!$K$30:$K$38)*T187*10/[1]梦灵属性!$K$26,[1]梦灵属性!$K$56:$K$104,1)</f>
        <v>#N/A</v>
      </c>
      <c r="AM187" s="351"/>
      <c r="AN187" s="266">
        <v>43</v>
      </c>
      <c r="AO187" s="350">
        <f>MATCH(_xlfn.XLOOKUP(K187,[1]梦灵本体产出!$D$30:$D$38,[1]梦灵本体产出!$L$30:$L$38)*Q187*10/[1]梦灵属性!$K$26,[1]梦灵属性!$K$56:$K$104,1)</f>
        <v>20</v>
      </c>
      <c r="AP187" s="350">
        <f>MATCH(_xlfn.XLOOKUP(L187,[1]梦灵本体产出!$D$30:$D$38,[1]梦灵本体产出!$L$30:$L$38)*R187*10/[1]梦灵属性!$K$26,[1]梦灵属性!$K$56:$K$104,1)</f>
        <v>25</v>
      </c>
      <c r="AQ187" s="350" t="e">
        <f>MATCH(_xlfn.XLOOKUP(M187,[1]梦灵本体产出!$D$30:$D$38,[1]梦灵本体产出!$L$30:$L$38)*S187*10/[1]梦灵属性!$K$26,[1]梦灵属性!$K$56:$K$104,1)</f>
        <v>#N/A</v>
      </c>
      <c r="AR187" s="350" t="e">
        <f>MATCH(_xlfn.XLOOKUP(N187,[1]梦灵本体产出!$D$30:$D$38,[1]梦灵本体产出!$L$30:$L$38)*T187*10/[1]梦灵属性!$K$26,[1]梦灵属性!$K$56:$K$104,1)</f>
        <v>#N/A</v>
      </c>
      <c r="AS187" s="351"/>
      <c r="AT187" s="266">
        <v>43</v>
      </c>
      <c r="AU187" s="350">
        <f>IFERROR(MATCH(_xlfn.XLOOKUP(K187,[1]梦灵本体产出!$D$30:$D$38,[1]梦灵本体产出!$M$30:$M$38)*Q187*10/[1]梦灵属性!$K$26,[1]梦灵属性!$K$56:$K$104,1),0)</f>
        <v>10</v>
      </c>
      <c r="AV187" s="350">
        <f>IFERROR(MATCH(_xlfn.XLOOKUP(L187,[1]梦灵本体产出!$D$30:$D$38,[1]梦灵本体产出!$M$30:$M$38)*R187*10/[1]梦灵属性!$K$26,[1]梦灵属性!$K$56:$K$104,1),0)</f>
        <v>14</v>
      </c>
      <c r="AW187" s="350">
        <f>IFERROR(MATCH(_xlfn.XLOOKUP(M187,[1]梦灵本体产出!$D$30:$D$38,[1]梦灵本体产出!$M$30:$M$38)*S187*10/[1]梦灵属性!$K$26,[1]梦灵属性!$K$56:$K$104,1),0)</f>
        <v>0</v>
      </c>
      <c r="AX187" s="350">
        <f>IFERROR(MATCH(_xlfn.XLOOKUP(N187,[1]梦灵本体产出!$D$30:$D$38,[1]梦灵本体产出!$M$30:$M$38)*T187*10/[1]梦灵属性!$K$26,[1]梦灵属性!$K$56:$K$104,1),0)</f>
        <v>0</v>
      </c>
      <c r="AZ187" s="80">
        <f t="shared" si="25"/>
        <v>721.8</v>
      </c>
    </row>
    <row r="188" outlineLevel="1" spans="3:52">
      <c r="C188" s="80" t="s">
        <v>451</v>
      </c>
      <c r="D188" s="19">
        <v>44</v>
      </c>
      <c r="E188" s="19" t="s">
        <v>446</v>
      </c>
      <c r="F188" s="19" t="s">
        <v>447</v>
      </c>
      <c r="G188" s="19" t="s">
        <v>448</v>
      </c>
      <c r="H188" s="19" t="s">
        <v>448</v>
      </c>
      <c r="J188" s="19">
        <v>44</v>
      </c>
      <c r="K188" s="19">
        <v>4</v>
      </c>
      <c r="L188" s="19">
        <v>5</v>
      </c>
      <c r="M188" s="19">
        <v>6</v>
      </c>
      <c r="N188" s="19">
        <v>6</v>
      </c>
      <c r="P188" s="19">
        <v>44</v>
      </c>
      <c r="Q188" s="266">
        <v>5690.94285714284</v>
      </c>
      <c r="R188" s="266">
        <v>7036.60952380952</v>
      </c>
      <c r="S188" s="266">
        <v>10881.3714285714</v>
      </c>
      <c r="T188" s="266">
        <v>14120.7142857143</v>
      </c>
      <c r="V188" s="19">
        <v>44</v>
      </c>
      <c r="W188" s="350">
        <f t="shared" si="26"/>
        <v>23100</v>
      </c>
      <c r="X188" s="350">
        <f t="shared" si="27"/>
        <v>30030</v>
      </c>
      <c r="Y188" s="350">
        <f t="shared" si="28"/>
        <v>48048</v>
      </c>
      <c r="Z188" s="350">
        <f t="shared" si="29"/>
        <v>63525</v>
      </c>
      <c r="AB188" s="19">
        <v>44</v>
      </c>
      <c r="AC188" s="350">
        <f>MATCH(_xlfn.XLOOKUP(K188,[1]梦灵本体产出!$D$30:$D$38,[1]梦灵本体产出!$J$30:$J$38)*Q188*10/[1]梦灵属性!$K$26,[1]梦灵属性!$K$56:$K$104,1)</f>
        <v>33</v>
      </c>
      <c r="AD188" s="350">
        <f>MATCH(_xlfn.XLOOKUP(L188,[1]梦灵本体产出!$D$30:$D$38,[1]梦灵本体产出!$J$30:$J$38)*R188*10/[1]梦灵属性!$K$26,[1]梦灵属性!$K$56:$K$104,1)</f>
        <v>33</v>
      </c>
      <c r="AE188" s="350" t="e">
        <f>MATCH(_xlfn.XLOOKUP(M188,[1]梦灵本体产出!$D$30:$D$38,[1]梦灵本体产出!$J$30:$J$38)*S188*10/[1]梦灵属性!$K$26,[1]梦灵属性!$K$56:$K$104,1)</f>
        <v>#N/A</v>
      </c>
      <c r="AF188" s="350" t="e">
        <f>MATCH(_xlfn.XLOOKUP(N188,[1]梦灵本体产出!$D$30:$D$38,[1]梦灵本体产出!$J$30:$J$38)*T188*10/[1]梦灵属性!$K$26,[1]梦灵属性!$K$56:$K$104,1)</f>
        <v>#N/A</v>
      </c>
      <c r="AG188" s="351"/>
      <c r="AH188" s="266">
        <v>44</v>
      </c>
      <c r="AI188" s="350">
        <f>MATCH(_xlfn.XLOOKUP(K188,[1]梦灵本体产出!$D$30:$D$38,[1]梦灵本体产出!$K$30:$K$38)*Q188*10/[1]梦灵属性!$K$26,[1]梦灵属性!$K$56:$K$104,1)</f>
        <v>29</v>
      </c>
      <c r="AJ188" s="350">
        <f>MATCH(_xlfn.XLOOKUP(L188,[1]梦灵本体产出!$D$30:$D$38,[1]梦灵本体产出!$K$30:$K$38)*R188*10/[1]梦灵属性!$K$26,[1]梦灵属性!$K$56:$K$104,1)</f>
        <v>32</v>
      </c>
      <c r="AK188" s="350" t="e">
        <f>MATCH(_xlfn.XLOOKUP(M188,[1]梦灵本体产出!$D$30:$D$38,[1]梦灵本体产出!$K$30:$K$38)*S188*10/[1]梦灵属性!$K$26,[1]梦灵属性!$K$56:$K$104,1)</f>
        <v>#N/A</v>
      </c>
      <c r="AL188" s="350" t="e">
        <f>MATCH(_xlfn.XLOOKUP(N188,[1]梦灵本体产出!$D$30:$D$38,[1]梦灵本体产出!$K$30:$K$38)*T188*10/[1]梦灵属性!$K$26,[1]梦灵属性!$K$56:$K$104,1)</f>
        <v>#N/A</v>
      </c>
      <c r="AM188" s="351"/>
      <c r="AN188" s="266">
        <v>44</v>
      </c>
      <c r="AO188" s="350">
        <f>MATCH(_xlfn.XLOOKUP(K188,[1]梦灵本体产出!$D$30:$D$38,[1]梦灵本体产出!$L$30:$L$38)*Q188*10/[1]梦灵属性!$K$26,[1]梦灵属性!$K$56:$K$104,1)</f>
        <v>20</v>
      </c>
      <c r="AP188" s="350">
        <f>MATCH(_xlfn.XLOOKUP(L188,[1]梦灵本体产出!$D$30:$D$38,[1]梦灵本体产出!$L$30:$L$38)*R188*10/[1]梦灵属性!$K$26,[1]梦灵属性!$K$56:$K$104,1)</f>
        <v>25</v>
      </c>
      <c r="AQ188" s="350" t="e">
        <f>MATCH(_xlfn.XLOOKUP(M188,[1]梦灵本体产出!$D$30:$D$38,[1]梦灵本体产出!$L$30:$L$38)*S188*10/[1]梦灵属性!$K$26,[1]梦灵属性!$K$56:$K$104,1)</f>
        <v>#N/A</v>
      </c>
      <c r="AR188" s="350" t="e">
        <f>MATCH(_xlfn.XLOOKUP(N188,[1]梦灵本体产出!$D$30:$D$38,[1]梦灵本体产出!$L$30:$L$38)*T188*10/[1]梦灵属性!$K$26,[1]梦灵属性!$K$56:$K$104,1)</f>
        <v>#N/A</v>
      </c>
      <c r="AS188" s="351"/>
      <c r="AT188" s="266">
        <v>44</v>
      </c>
      <c r="AU188" s="350">
        <f>IFERROR(MATCH(_xlfn.XLOOKUP(K188,[1]梦灵本体产出!$D$30:$D$38,[1]梦灵本体产出!$M$30:$M$38)*Q188*10/[1]梦灵属性!$K$26,[1]梦灵属性!$K$56:$K$104,1),0)</f>
        <v>10</v>
      </c>
      <c r="AV188" s="350">
        <f>IFERROR(MATCH(_xlfn.XLOOKUP(L188,[1]梦灵本体产出!$D$30:$D$38,[1]梦灵本体产出!$M$30:$M$38)*R188*10/[1]梦灵属性!$K$26,[1]梦灵属性!$K$56:$K$104,1),0)</f>
        <v>14</v>
      </c>
      <c r="AW188" s="350">
        <f>IFERROR(MATCH(_xlfn.XLOOKUP(M188,[1]梦灵本体产出!$D$30:$D$38,[1]梦灵本体产出!$M$30:$M$38)*S188*10/[1]梦灵属性!$K$26,[1]梦灵属性!$K$56:$K$104,1),0)</f>
        <v>0</v>
      </c>
      <c r="AX188" s="350">
        <f>IFERROR(MATCH(_xlfn.XLOOKUP(N188,[1]梦灵本体产出!$D$30:$D$38,[1]梦灵本体产出!$M$30:$M$38)*T188*10/[1]梦灵属性!$K$26,[1]梦灵属性!$K$56:$K$104,1),0)</f>
        <v>0</v>
      </c>
      <c r="AZ188" s="80">
        <f t="shared" si="25"/>
        <v>721.8</v>
      </c>
    </row>
    <row r="189" outlineLevel="1" spans="3:52">
      <c r="C189" s="80" t="s">
        <v>451</v>
      </c>
      <c r="D189" s="19">
        <v>45</v>
      </c>
      <c r="E189" s="19" t="s">
        <v>446</v>
      </c>
      <c r="F189" s="19" t="s">
        <v>447</v>
      </c>
      <c r="G189" s="19" t="s">
        <v>448</v>
      </c>
      <c r="H189" s="19" t="s">
        <v>448</v>
      </c>
      <c r="J189" s="19">
        <v>45</v>
      </c>
      <c r="K189" s="19">
        <v>4</v>
      </c>
      <c r="L189" s="19">
        <v>5</v>
      </c>
      <c r="M189" s="19">
        <v>6</v>
      </c>
      <c r="N189" s="19">
        <v>6</v>
      </c>
      <c r="P189" s="19">
        <v>45</v>
      </c>
      <c r="Q189" s="266">
        <v>5804.71428571427</v>
      </c>
      <c r="R189" s="266">
        <v>7179.71428571428</v>
      </c>
      <c r="S189" s="266">
        <v>11109.8571428572</v>
      </c>
      <c r="T189" s="266">
        <v>14422.8214285714</v>
      </c>
      <c r="V189" s="19">
        <v>45</v>
      </c>
      <c r="W189" s="350">
        <f t="shared" si="26"/>
        <v>23100</v>
      </c>
      <c r="X189" s="350">
        <f t="shared" si="27"/>
        <v>30030</v>
      </c>
      <c r="Y189" s="350">
        <f t="shared" si="28"/>
        <v>48048</v>
      </c>
      <c r="Z189" s="350">
        <f t="shared" si="29"/>
        <v>63525</v>
      </c>
      <c r="AB189" s="19">
        <v>45</v>
      </c>
      <c r="AC189" s="350">
        <f>MATCH(_xlfn.XLOOKUP(K189,[1]梦灵本体产出!$D$30:$D$38,[1]梦灵本体产出!$J$30:$J$38)*Q189*10/[1]梦灵属性!$K$26,[1]梦灵属性!$K$56:$K$104,1)</f>
        <v>33</v>
      </c>
      <c r="AD189" s="350">
        <f>MATCH(_xlfn.XLOOKUP(L189,[1]梦灵本体产出!$D$30:$D$38,[1]梦灵本体产出!$J$30:$J$38)*R189*10/[1]梦灵属性!$K$26,[1]梦灵属性!$K$56:$K$104,1)</f>
        <v>34</v>
      </c>
      <c r="AE189" s="350" t="e">
        <f>MATCH(_xlfn.XLOOKUP(M189,[1]梦灵本体产出!$D$30:$D$38,[1]梦灵本体产出!$J$30:$J$38)*S189*10/[1]梦灵属性!$K$26,[1]梦灵属性!$K$56:$K$104,1)</f>
        <v>#N/A</v>
      </c>
      <c r="AF189" s="350" t="e">
        <f>MATCH(_xlfn.XLOOKUP(N189,[1]梦灵本体产出!$D$30:$D$38,[1]梦灵本体产出!$J$30:$J$38)*T189*10/[1]梦灵属性!$K$26,[1]梦灵属性!$K$56:$K$104,1)</f>
        <v>#N/A</v>
      </c>
      <c r="AG189" s="351"/>
      <c r="AH189" s="266">
        <v>45</v>
      </c>
      <c r="AI189" s="350">
        <f>MATCH(_xlfn.XLOOKUP(K189,[1]梦灵本体产出!$D$30:$D$38,[1]梦灵本体产出!$K$30:$K$38)*Q189*10/[1]梦灵属性!$K$26,[1]梦灵属性!$K$56:$K$104,1)</f>
        <v>29</v>
      </c>
      <c r="AJ189" s="350">
        <f>MATCH(_xlfn.XLOOKUP(L189,[1]梦灵本体产出!$D$30:$D$38,[1]梦灵本体产出!$K$30:$K$38)*R189*10/[1]梦灵属性!$K$26,[1]梦灵属性!$K$56:$K$104,1)</f>
        <v>32</v>
      </c>
      <c r="AK189" s="350" t="e">
        <f>MATCH(_xlfn.XLOOKUP(M189,[1]梦灵本体产出!$D$30:$D$38,[1]梦灵本体产出!$K$30:$K$38)*S189*10/[1]梦灵属性!$K$26,[1]梦灵属性!$K$56:$K$104,1)</f>
        <v>#N/A</v>
      </c>
      <c r="AL189" s="350" t="e">
        <f>MATCH(_xlfn.XLOOKUP(N189,[1]梦灵本体产出!$D$30:$D$38,[1]梦灵本体产出!$K$30:$K$38)*T189*10/[1]梦灵属性!$K$26,[1]梦灵属性!$K$56:$K$104,1)</f>
        <v>#N/A</v>
      </c>
      <c r="AM189" s="351"/>
      <c r="AN189" s="266">
        <v>45</v>
      </c>
      <c r="AO189" s="350">
        <f>MATCH(_xlfn.XLOOKUP(K189,[1]梦灵本体产出!$D$30:$D$38,[1]梦灵本体产出!$L$30:$L$38)*Q189*10/[1]梦灵属性!$K$26,[1]梦灵属性!$K$56:$K$104,1)</f>
        <v>20</v>
      </c>
      <c r="AP189" s="350">
        <f>MATCH(_xlfn.XLOOKUP(L189,[1]梦灵本体产出!$D$30:$D$38,[1]梦灵本体产出!$L$30:$L$38)*R189*10/[1]梦灵属性!$K$26,[1]梦灵属性!$K$56:$K$104,1)</f>
        <v>25</v>
      </c>
      <c r="AQ189" s="350" t="e">
        <f>MATCH(_xlfn.XLOOKUP(M189,[1]梦灵本体产出!$D$30:$D$38,[1]梦灵本体产出!$L$30:$L$38)*S189*10/[1]梦灵属性!$K$26,[1]梦灵属性!$K$56:$K$104,1)</f>
        <v>#N/A</v>
      </c>
      <c r="AR189" s="350" t="e">
        <f>MATCH(_xlfn.XLOOKUP(N189,[1]梦灵本体产出!$D$30:$D$38,[1]梦灵本体产出!$L$30:$L$38)*T189*10/[1]梦灵属性!$K$26,[1]梦灵属性!$K$56:$K$104,1)</f>
        <v>#N/A</v>
      </c>
      <c r="AS189" s="351"/>
      <c r="AT189" s="266">
        <v>45</v>
      </c>
      <c r="AU189" s="350">
        <f>IFERROR(MATCH(_xlfn.XLOOKUP(K189,[1]梦灵本体产出!$D$30:$D$38,[1]梦灵本体产出!$M$30:$M$38)*Q189*10/[1]梦灵属性!$K$26,[1]梦灵属性!$K$56:$K$104,1),0)</f>
        <v>10</v>
      </c>
      <c r="AV189" s="350">
        <f>IFERROR(MATCH(_xlfn.XLOOKUP(L189,[1]梦灵本体产出!$D$30:$D$38,[1]梦灵本体产出!$M$30:$M$38)*R189*10/[1]梦灵属性!$K$26,[1]梦灵属性!$K$56:$K$104,1),0)</f>
        <v>14</v>
      </c>
      <c r="AW189" s="350">
        <f>IFERROR(MATCH(_xlfn.XLOOKUP(M189,[1]梦灵本体产出!$D$30:$D$38,[1]梦灵本体产出!$M$30:$M$38)*S189*10/[1]梦灵属性!$K$26,[1]梦灵属性!$K$56:$K$104,1),0)</f>
        <v>0</v>
      </c>
      <c r="AX189" s="350">
        <f>IFERROR(MATCH(_xlfn.XLOOKUP(N189,[1]梦灵本体产出!$D$30:$D$38,[1]梦灵本体产出!$M$30:$M$38)*T189*10/[1]梦灵属性!$K$26,[1]梦灵属性!$K$56:$K$104,1),0)</f>
        <v>0</v>
      </c>
      <c r="AZ189" s="80">
        <f t="shared" si="25"/>
        <v>721.8</v>
      </c>
    </row>
    <row r="190" outlineLevel="1" spans="3:52">
      <c r="C190" s="80" t="s">
        <v>451</v>
      </c>
      <c r="D190" s="19">
        <v>46</v>
      </c>
      <c r="E190" s="19" t="s">
        <v>446</v>
      </c>
      <c r="F190" s="19" t="s">
        <v>448</v>
      </c>
      <c r="G190" s="19" t="s">
        <v>448</v>
      </c>
      <c r="H190" s="19" t="s">
        <v>448</v>
      </c>
      <c r="J190" s="19">
        <v>46</v>
      </c>
      <c r="K190" s="19">
        <v>4</v>
      </c>
      <c r="L190" s="19">
        <v>5</v>
      </c>
      <c r="M190" s="19">
        <v>6</v>
      </c>
      <c r="N190" s="19">
        <v>6</v>
      </c>
      <c r="P190" s="19">
        <v>46</v>
      </c>
      <c r="Q190" s="266">
        <v>5918.48571428569</v>
      </c>
      <c r="R190" s="266">
        <v>7322.81904761904</v>
      </c>
      <c r="S190" s="266">
        <v>11338.3428571429</v>
      </c>
      <c r="T190" s="266">
        <v>14724.9285714286</v>
      </c>
      <c r="V190" s="19">
        <v>46</v>
      </c>
      <c r="W190" s="350">
        <f t="shared" si="26"/>
        <v>23100</v>
      </c>
      <c r="X190" s="350">
        <f t="shared" si="27"/>
        <v>30030</v>
      </c>
      <c r="Y190" s="350">
        <f t="shared" si="28"/>
        <v>48048</v>
      </c>
      <c r="Z190" s="350">
        <f t="shared" si="29"/>
        <v>63525</v>
      </c>
      <c r="AB190" s="19">
        <v>46</v>
      </c>
      <c r="AC190" s="350">
        <f>MATCH(_xlfn.XLOOKUP(K190,[1]梦灵本体产出!$D$30:$D$38,[1]梦灵本体产出!$J$30:$J$38)*Q190*10/[1]梦灵属性!$K$26,[1]梦灵属性!$K$56:$K$104,1)</f>
        <v>34</v>
      </c>
      <c r="AD190" s="350">
        <f>MATCH(_xlfn.XLOOKUP(L190,[1]梦灵本体产出!$D$30:$D$38,[1]梦灵本体产出!$J$30:$J$38)*R190*10/[1]梦灵属性!$K$26,[1]梦灵属性!$K$56:$K$104,1)</f>
        <v>34</v>
      </c>
      <c r="AE190" s="350" t="e">
        <f>MATCH(_xlfn.XLOOKUP(M190,[1]梦灵本体产出!$D$30:$D$38,[1]梦灵本体产出!$J$30:$J$38)*S190*10/[1]梦灵属性!$K$26,[1]梦灵属性!$K$56:$K$104,1)</f>
        <v>#N/A</v>
      </c>
      <c r="AF190" s="350" t="e">
        <f>MATCH(_xlfn.XLOOKUP(N190,[1]梦灵本体产出!$D$30:$D$38,[1]梦灵本体产出!$J$30:$J$38)*T190*10/[1]梦灵属性!$K$26,[1]梦灵属性!$K$56:$K$104,1)</f>
        <v>#N/A</v>
      </c>
      <c r="AG190" s="351"/>
      <c r="AH190" s="266">
        <v>46</v>
      </c>
      <c r="AI190" s="350">
        <f>MATCH(_xlfn.XLOOKUP(K190,[1]梦灵本体产出!$D$30:$D$38,[1]梦灵本体产出!$K$30:$K$38)*Q190*10/[1]梦灵属性!$K$26,[1]梦灵属性!$K$56:$K$104,1)</f>
        <v>29</v>
      </c>
      <c r="AJ190" s="350">
        <f>MATCH(_xlfn.XLOOKUP(L190,[1]梦灵本体产出!$D$30:$D$38,[1]梦灵本体产出!$K$30:$K$38)*R190*10/[1]梦灵属性!$K$26,[1]梦灵属性!$K$56:$K$104,1)</f>
        <v>32</v>
      </c>
      <c r="AK190" s="350" t="e">
        <f>MATCH(_xlfn.XLOOKUP(M190,[1]梦灵本体产出!$D$30:$D$38,[1]梦灵本体产出!$K$30:$K$38)*S190*10/[1]梦灵属性!$K$26,[1]梦灵属性!$K$56:$K$104,1)</f>
        <v>#N/A</v>
      </c>
      <c r="AL190" s="350" t="e">
        <f>MATCH(_xlfn.XLOOKUP(N190,[1]梦灵本体产出!$D$30:$D$38,[1]梦灵本体产出!$K$30:$K$38)*T190*10/[1]梦灵属性!$K$26,[1]梦灵属性!$K$56:$K$104,1)</f>
        <v>#N/A</v>
      </c>
      <c r="AM190" s="351"/>
      <c r="AN190" s="266">
        <v>46</v>
      </c>
      <c r="AO190" s="350">
        <f>MATCH(_xlfn.XLOOKUP(K190,[1]梦灵本体产出!$D$30:$D$38,[1]梦灵本体产出!$L$30:$L$38)*Q190*10/[1]梦灵属性!$K$26,[1]梦灵属性!$K$56:$K$104,1)</f>
        <v>21</v>
      </c>
      <c r="AP190" s="350">
        <f>MATCH(_xlfn.XLOOKUP(L190,[1]梦灵本体产出!$D$30:$D$38,[1]梦灵本体产出!$L$30:$L$38)*R190*10/[1]梦灵属性!$K$26,[1]梦灵属性!$K$56:$K$104,1)</f>
        <v>25</v>
      </c>
      <c r="AQ190" s="350" t="e">
        <f>MATCH(_xlfn.XLOOKUP(M190,[1]梦灵本体产出!$D$30:$D$38,[1]梦灵本体产出!$L$30:$L$38)*S190*10/[1]梦灵属性!$K$26,[1]梦灵属性!$K$56:$K$104,1)</f>
        <v>#N/A</v>
      </c>
      <c r="AR190" s="350" t="e">
        <f>MATCH(_xlfn.XLOOKUP(N190,[1]梦灵本体产出!$D$30:$D$38,[1]梦灵本体产出!$L$30:$L$38)*T190*10/[1]梦灵属性!$K$26,[1]梦灵属性!$K$56:$K$104,1)</f>
        <v>#N/A</v>
      </c>
      <c r="AS190" s="351"/>
      <c r="AT190" s="266">
        <v>46</v>
      </c>
      <c r="AU190" s="350">
        <f>IFERROR(MATCH(_xlfn.XLOOKUP(K190,[1]梦灵本体产出!$D$30:$D$38,[1]梦灵本体产出!$M$30:$M$38)*Q190*10/[1]梦灵属性!$K$26,[1]梦灵属性!$K$56:$K$104,1),0)</f>
        <v>11</v>
      </c>
      <c r="AV190" s="350">
        <f>IFERROR(MATCH(_xlfn.XLOOKUP(L190,[1]梦灵本体产出!$D$30:$D$38,[1]梦灵本体产出!$M$30:$M$38)*R190*10/[1]梦灵属性!$K$26,[1]梦灵属性!$K$56:$K$104,1),0)</f>
        <v>14</v>
      </c>
      <c r="AW190" s="350">
        <f>IFERROR(MATCH(_xlfn.XLOOKUP(M190,[1]梦灵本体产出!$D$30:$D$38,[1]梦灵本体产出!$M$30:$M$38)*S190*10/[1]梦灵属性!$K$26,[1]梦灵属性!$K$56:$K$104,1),0)</f>
        <v>0</v>
      </c>
      <c r="AX190" s="350">
        <f>IFERROR(MATCH(_xlfn.XLOOKUP(N190,[1]梦灵本体产出!$D$30:$D$38,[1]梦灵本体产出!$M$30:$M$38)*T190*10/[1]梦灵属性!$K$26,[1]梦灵属性!$K$56:$K$104,1),0)</f>
        <v>0</v>
      </c>
      <c r="AZ190" s="80">
        <f t="shared" si="25"/>
        <v>742.8</v>
      </c>
    </row>
    <row r="191" outlineLevel="1" spans="3:52">
      <c r="C191" s="80" t="s">
        <v>451</v>
      </c>
      <c r="D191" s="19">
        <v>47</v>
      </c>
      <c r="E191" s="19" t="s">
        <v>446</v>
      </c>
      <c r="F191" s="19" t="s">
        <v>448</v>
      </c>
      <c r="G191" s="19" t="s">
        <v>448</v>
      </c>
      <c r="H191" s="19" t="s">
        <v>448</v>
      </c>
      <c r="J191" s="19">
        <v>47</v>
      </c>
      <c r="K191" s="19">
        <v>4</v>
      </c>
      <c r="L191" s="19">
        <v>5</v>
      </c>
      <c r="M191" s="19">
        <v>6</v>
      </c>
      <c r="N191" s="19">
        <v>6</v>
      </c>
      <c r="P191" s="19">
        <v>47</v>
      </c>
      <c r="Q191" s="266">
        <v>6032.25714285712</v>
      </c>
      <c r="R191" s="266">
        <v>7465.9238095238</v>
      </c>
      <c r="S191" s="266">
        <v>11566.8285714286</v>
      </c>
      <c r="T191" s="266">
        <v>15027.0357142857</v>
      </c>
      <c r="V191" s="19">
        <v>47</v>
      </c>
      <c r="W191" s="350">
        <f t="shared" si="26"/>
        <v>23100</v>
      </c>
      <c r="X191" s="350">
        <f t="shared" si="27"/>
        <v>30030</v>
      </c>
      <c r="Y191" s="350">
        <f t="shared" si="28"/>
        <v>48048</v>
      </c>
      <c r="Z191" s="350">
        <f t="shared" si="29"/>
        <v>63525</v>
      </c>
      <c r="AB191" s="19">
        <v>47</v>
      </c>
      <c r="AC191" s="350">
        <f>MATCH(_xlfn.XLOOKUP(K191,[1]梦灵本体产出!$D$30:$D$38,[1]梦灵本体产出!$J$30:$J$38)*Q191*10/[1]梦灵属性!$K$26,[1]梦灵属性!$K$56:$K$104,1)</f>
        <v>34</v>
      </c>
      <c r="AD191" s="350">
        <f>MATCH(_xlfn.XLOOKUP(L191,[1]梦灵本体产出!$D$30:$D$38,[1]梦灵本体产出!$J$30:$J$38)*R191*10/[1]梦灵属性!$K$26,[1]梦灵属性!$K$56:$K$104,1)</f>
        <v>34</v>
      </c>
      <c r="AE191" s="350" t="e">
        <f>MATCH(_xlfn.XLOOKUP(M191,[1]梦灵本体产出!$D$30:$D$38,[1]梦灵本体产出!$J$30:$J$38)*S191*10/[1]梦灵属性!$K$26,[1]梦灵属性!$K$56:$K$104,1)</f>
        <v>#N/A</v>
      </c>
      <c r="AF191" s="350" t="e">
        <f>MATCH(_xlfn.XLOOKUP(N191,[1]梦灵本体产出!$D$30:$D$38,[1]梦灵本体产出!$J$30:$J$38)*T191*10/[1]梦灵属性!$K$26,[1]梦灵属性!$K$56:$K$104,1)</f>
        <v>#N/A</v>
      </c>
      <c r="AG191" s="351"/>
      <c r="AH191" s="266">
        <v>47</v>
      </c>
      <c r="AI191" s="350">
        <f>MATCH(_xlfn.XLOOKUP(K191,[1]梦灵本体产出!$D$30:$D$38,[1]梦灵本体产出!$K$30:$K$38)*Q191*10/[1]梦灵属性!$K$26,[1]梦灵属性!$K$56:$K$104,1)</f>
        <v>29</v>
      </c>
      <c r="AJ191" s="350">
        <f>MATCH(_xlfn.XLOOKUP(L191,[1]梦灵本体产出!$D$30:$D$38,[1]梦灵本体产出!$K$30:$K$38)*R191*10/[1]梦灵属性!$K$26,[1]梦灵属性!$K$56:$K$104,1)</f>
        <v>32</v>
      </c>
      <c r="AK191" s="350" t="e">
        <f>MATCH(_xlfn.XLOOKUP(M191,[1]梦灵本体产出!$D$30:$D$38,[1]梦灵本体产出!$K$30:$K$38)*S191*10/[1]梦灵属性!$K$26,[1]梦灵属性!$K$56:$K$104,1)</f>
        <v>#N/A</v>
      </c>
      <c r="AL191" s="350" t="e">
        <f>MATCH(_xlfn.XLOOKUP(N191,[1]梦灵本体产出!$D$30:$D$38,[1]梦灵本体产出!$K$30:$K$38)*T191*10/[1]梦灵属性!$K$26,[1]梦灵属性!$K$56:$K$104,1)</f>
        <v>#N/A</v>
      </c>
      <c r="AM191" s="351"/>
      <c r="AN191" s="266">
        <v>47</v>
      </c>
      <c r="AO191" s="350">
        <f>MATCH(_xlfn.XLOOKUP(K191,[1]梦灵本体产出!$D$30:$D$38,[1]梦灵本体产出!$L$30:$L$38)*Q191*10/[1]梦灵属性!$K$26,[1]梦灵属性!$K$56:$K$104,1)</f>
        <v>21</v>
      </c>
      <c r="AP191" s="350">
        <f>MATCH(_xlfn.XLOOKUP(L191,[1]梦灵本体产出!$D$30:$D$38,[1]梦灵本体产出!$L$30:$L$38)*R191*10/[1]梦灵属性!$K$26,[1]梦灵属性!$K$56:$K$104,1)</f>
        <v>25</v>
      </c>
      <c r="AQ191" s="350" t="e">
        <f>MATCH(_xlfn.XLOOKUP(M191,[1]梦灵本体产出!$D$30:$D$38,[1]梦灵本体产出!$L$30:$L$38)*S191*10/[1]梦灵属性!$K$26,[1]梦灵属性!$K$56:$K$104,1)</f>
        <v>#N/A</v>
      </c>
      <c r="AR191" s="350" t="e">
        <f>MATCH(_xlfn.XLOOKUP(N191,[1]梦灵本体产出!$D$30:$D$38,[1]梦灵本体产出!$L$30:$L$38)*T191*10/[1]梦灵属性!$K$26,[1]梦灵属性!$K$56:$K$104,1)</f>
        <v>#N/A</v>
      </c>
      <c r="AS191" s="351"/>
      <c r="AT191" s="266">
        <v>47</v>
      </c>
      <c r="AU191" s="350">
        <f>IFERROR(MATCH(_xlfn.XLOOKUP(K191,[1]梦灵本体产出!$D$30:$D$38,[1]梦灵本体产出!$M$30:$M$38)*Q191*10/[1]梦灵属性!$K$26,[1]梦灵属性!$K$56:$K$104,1),0)</f>
        <v>11</v>
      </c>
      <c r="AV191" s="350">
        <f>IFERROR(MATCH(_xlfn.XLOOKUP(L191,[1]梦灵本体产出!$D$30:$D$38,[1]梦灵本体产出!$M$30:$M$38)*R191*10/[1]梦灵属性!$K$26,[1]梦灵属性!$K$56:$K$104,1),0)</f>
        <v>14</v>
      </c>
      <c r="AW191" s="350">
        <f>IFERROR(MATCH(_xlfn.XLOOKUP(M191,[1]梦灵本体产出!$D$30:$D$38,[1]梦灵本体产出!$M$30:$M$38)*S191*10/[1]梦灵属性!$K$26,[1]梦灵属性!$K$56:$K$104,1),0)</f>
        <v>0</v>
      </c>
      <c r="AX191" s="350">
        <f>IFERROR(MATCH(_xlfn.XLOOKUP(N191,[1]梦灵本体产出!$D$30:$D$38,[1]梦灵本体产出!$M$30:$M$38)*T191*10/[1]梦灵属性!$K$26,[1]梦灵属性!$K$56:$K$104,1),0)</f>
        <v>0</v>
      </c>
      <c r="AZ191" s="80">
        <f t="shared" si="25"/>
        <v>742.8</v>
      </c>
    </row>
    <row r="192" outlineLevel="1" spans="3:52">
      <c r="C192" s="80" t="s">
        <v>451</v>
      </c>
      <c r="D192" s="19">
        <v>48</v>
      </c>
      <c r="E192" s="19" t="s">
        <v>446</v>
      </c>
      <c r="F192" s="19" t="s">
        <v>448</v>
      </c>
      <c r="G192" s="19" t="s">
        <v>448</v>
      </c>
      <c r="H192" s="19" t="s">
        <v>448</v>
      </c>
      <c r="J192" s="19">
        <v>48</v>
      </c>
      <c r="K192" s="19">
        <v>4</v>
      </c>
      <c r="L192" s="19">
        <v>5</v>
      </c>
      <c r="M192" s="19">
        <v>6</v>
      </c>
      <c r="N192" s="19">
        <v>7</v>
      </c>
      <c r="P192" s="19">
        <v>48</v>
      </c>
      <c r="Q192" s="266">
        <v>6146.02857142855</v>
      </c>
      <c r="R192" s="266">
        <v>7609.02857142857</v>
      </c>
      <c r="S192" s="266">
        <v>11795.3142857143</v>
      </c>
      <c r="T192" s="266">
        <v>15329.1428571429</v>
      </c>
      <c r="V192" s="19">
        <v>48</v>
      </c>
      <c r="W192" s="350">
        <f t="shared" si="26"/>
        <v>23100</v>
      </c>
      <c r="X192" s="350">
        <f t="shared" si="27"/>
        <v>30030</v>
      </c>
      <c r="Y192" s="350">
        <f t="shared" si="28"/>
        <v>48048</v>
      </c>
      <c r="Z192" s="350">
        <f t="shared" si="29"/>
        <v>63525</v>
      </c>
      <c r="AB192" s="19">
        <v>48</v>
      </c>
      <c r="AC192" s="350">
        <f>MATCH(_xlfn.XLOOKUP(K192,[1]梦灵本体产出!$D$30:$D$38,[1]梦灵本体产出!$J$30:$J$38)*Q192*10/[1]梦灵属性!$K$26,[1]梦灵属性!$K$56:$K$104,1)</f>
        <v>34</v>
      </c>
      <c r="AD192" s="350">
        <f>MATCH(_xlfn.XLOOKUP(L192,[1]梦灵本体产出!$D$30:$D$38,[1]梦灵本体产出!$J$30:$J$38)*R192*10/[1]梦灵属性!$K$26,[1]梦灵属性!$K$56:$K$104,1)</f>
        <v>34</v>
      </c>
      <c r="AE192" s="350" t="e">
        <f>MATCH(_xlfn.XLOOKUP(M192,[1]梦灵本体产出!$D$30:$D$38,[1]梦灵本体产出!$J$30:$J$38)*S192*10/[1]梦灵属性!$K$26,[1]梦灵属性!$K$56:$K$104,1)</f>
        <v>#N/A</v>
      </c>
      <c r="AF192" s="350" t="e">
        <f>MATCH(_xlfn.XLOOKUP(N192,[1]梦灵本体产出!$D$30:$D$38,[1]梦灵本体产出!$J$30:$J$38)*T192*10/[1]梦灵属性!$K$26,[1]梦灵属性!$K$56:$K$104,1)</f>
        <v>#N/A</v>
      </c>
      <c r="AG192" s="351"/>
      <c r="AH192" s="266">
        <v>48</v>
      </c>
      <c r="AI192" s="350">
        <f>MATCH(_xlfn.XLOOKUP(K192,[1]梦灵本体产出!$D$30:$D$38,[1]梦灵本体产出!$K$30:$K$38)*Q192*10/[1]梦灵属性!$K$26,[1]梦灵属性!$K$56:$K$104,1)</f>
        <v>30</v>
      </c>
      <c r="AJ192" s="350">
        <f>MATCH(_xlfn.XLOOKUP(L192,[1]梦灵本体产出!$D$30:$D$38,[1]梦灵本体产出!$K$30:$K$38)*R192*10/[1]梦灵属性!$K$26,[1]梦灵属性!$K$56:$K$104,1)</f>
        <v>32</v>
      </c>
      <c r="AK192" s="350" t="e">
        <f>MATCH(_xlfn.XLOOKUP(M192,[1]梦灵本体产出!$D$30:$D$38,[1]梦灵本体产出!$K$30:$K$38)*S192*10/[1]梦灵属性!$K$26,[1]梦灵属性!$K$56:$K$104,1)</f>
        <v>#N/A</v>
      </c>
      <c r="AL192" s="350" t="e">
        <f>MATCH(_xlfn.XLOOKUP(N192,[1]梦灵本体产出!$D$30:$D$38,[1]梦灵本体产出!$K$30:$K$38)*T192*10/[1]梦灵属性!$K$26,[1]梦灵属性!$K$56:$K$104,1)</f>
        <v>#N/A</v>
      </c>
      <c r="AM192" s="351"/>
      <c r="AN192" s="266">
        <v>48</v>
      </c>
      <c r="AO192" s="350">
        <f>MATCH(_xlfn.XLOOKUP(K192,[1]梦灵本体产出!$D$30:$D$38,[1]梦灵本体产出!$L$30:$L$38)*Q192*10/[1]梦灵属性!$K$26,[1]梦灵属性!$K$56:$K$104,1)</f>
        <v>21</v>
      </c>
      <c r="AP192" s="350">
        <f>MATCH(_xlfn.XLOOKUP(L192,[1]梦灵本体产出!$D$30:$D$38,[1]梦灵本体产出!$L$30:$L$38)*R192*10/[1]梦灵属性!$K$26,[1]梦灵属性!$K$56:$K$104,1)</f>
        <v>26</v>
      </c>
      <c r="AQ192" s="350" t="e">
        <f>MATCH(_xlfn.XLOOKUP(M192,[1]梦灵本体产出!$D$30:$D$38,[1]梦灵本体产出!$L$30:$L$38)*S192*10/[1]梦灵属性!$K$26,[1]梦灵属性!$K$56:$K$104,1)</f>
        <v>#N/A</v>
      </c>
      <c r="AR192" s="350" t="e">
        <f>MATCH(_xlfn.XLOOKUP(N192,[1]梦灵本体产出!$D$30:$D$38,[1]梦灵本体产出!$L$30:$L$38)*T192*10/[1]梦灵属性!$K$26,[1]梦灵属性!$K$56:$K$104,1)</f>
        <v>#N/A</v>
      </c>
      <c r="AS192" s="351"/>
      <c r="AT192" s="266">
        <v>48</v>
      </c>
      <c r="AU192" s="350">
        <f>IFERROR(MATCH(_xlfn.XLOOKUP(K192,[1]梦灵本体产出!$D$30:$D$38,[1]梦灵本体产出!$M$30:$M$38)*Q192*10/[1]梦灵属性!$K$26,[1]梦灵属性!$K$56:$K$104,1),0)</f>
        <v>11</v>
      </c>
      <c r="AV192" s="350">
        <f>IFERROR(MATCH(_xlfn.XLOOKUP(L192,[1]梦灵本体产出!$D$30:$D$38,[1]梦灵本体产出!$M$30:$M$38)*R192*10/[1]梦灵属性!$K$26,[1]梦灵属性!$K$56:$K$104,1),0)</f>
        <v>15</v>
      </c>
      <c r="AW192" s="350">
        <f>IFERROR(MATCH(_xlfn.XLOOKUP(M192,[1]梦灵本体产出!$D$30:$D$38,[1]梦灵本体产出!$M$30:$M$38)*S192*10/[1]梦灵属性!$K$26,[1]梦灵属性!$K$56:$K$104,1),0)</f>
        <v>0</v>
      </c>
      <c r="AX192" s="350">
        <f>IFERROR(MATCH(_xlfn.XLOOKUP(N192,[1]梦灵本体产出!$D$30:$D$38,[1]梦灵本体产出!$M$30:$M$38)*T192*10/[1]梦灵属性!$K$26,[1]梦灵属性!$K$56:$K$104,1),0)</f>
        <v>0</v>
      </c>
      <c r="AZ192" s="80">
        <f t="shared" si="25"/>
        <v>750</v>
      </c>
    </row>
    <row r="193" outlineLevel="1" spans="2:52">
      <c r="C193" s="80" t="s">
        <v>451</v>
      </c>
      <c r="D193" s="19">
        <v>49</v>
      </c>
      <c r="E193" s="19" t="s">
        <v>446</v>
      </c>
      <c r="F193" s="19" t="s">
        <v>448</v>
      </c>
      <c r="G193" s="19" t="s">
        <v>448</v>
      </c>
      <c r="H193" s="19" t="s">
        <v>448</v>
      </c>
      <c r="J193" s="19">
        <v>49</v>
      </c>
      <c r="K193" s="19">
        <v>4</v>
      </c>
      <c r="L193" s="19">
        <v>5</v>
      </c>
      <c r="M193" s="19">
        <v>6</v>
      </c>
      <c r="N193" s="19">
        <v>7</v>
      </c>
      <c r="P193" s="19">
        <v>49</v>
      </c>
      <c r="Q193" s="266">
        <v>6259.79999999998</v>
      </c>
      <c r="R193" s="266">
        <v>7752.13333333333</v>
      </c>
      <c r="S193" s="266">
        <v>12023.8</v>
      </c>
      <c r="T193" s="266">
        <v>15631.25</v>
      </c>
      <c r="V193" s="19">
        <v>49</v>
      </c>
      <c r="W193" s="350">
        <f t="shared" si="26"/>
        <v>23100</v>
      </c>
      <c r="X193" s="350">
        <f t="shared" si="27"/>
        <v>30030</v>
      </c>
      <c r="Y193" s="350">
        <f t="shared" si="28"/>
        <v>48048</v>
      </c>
      <c r="Z193" s="350">
        <f t="shared" si="29"/>
        <v>63525</v>
      </c>
      <c r="AB193" s="19">
        <v>49</v>
      </c>
      <c r="AC193" s="350">
        <f>MATCH(_xlfn.XLOOKUP(K193,[1]梦灵本体产出!$D$30:$D$38,[1]梦灵本体产出!$J$30:$J$38)*Q193*10/[1]梦灵属性!$K$26,[1]梦灵属性!$K$56:$K$104,1)</f>
        <v>34</v>
      </c>
      <c r="AD193" s="350">
        <f>MATCH(_xlfn.XLOOKUP(L193,[1]梦灵本体产出!$D$30:$D$38,[1]梦灵本体产出!$J$30:$J$38)*R193*10/[1]梦灵属性!$K$26,[1]梦灵属性!$K$56:$K$104,1)</f>
        <v>34</v>
      </c>
      <c r="AE193" s="350" t="e">
        <f>MATCH(_xlfn.XLOOKUP(M193,[1]梦灵本体产出!$D$30:$D$38,[1]梦灵本体产出!$J$30:$J$38)*S193*10/[1]梦灵属性!$K$26,[1]梦灵属性!$K$56:$K$104,1)</f>
        <v>#N/A</v>
      </c>
      <c r="AF193" s="350" t="e">
        <f>MATCH(_xlfn.XLOOKUP(N193,[1]梦灵本体产出!$D$30:$D$38,[1]梦灵本体产出!$J$30:$J$38)*T193*10/[1]梦灵属性!$K$26,[1]梦灵属性!$K$56:$K$104,1)</f>
        <v>#N/A</v>
      </c>
      <c r="AG193" s="351"/>
      <c r="AH193" s="266">
        <v>49</v>
      </c>
      <c r="AI193" s="350">
        <f>MATCH(_xlfn.XLOOKUP(K193,[1]梦灵本体产出!$D$30:$D$38,[1]梦灵本体产出!$K$30:$K$38)*Q193*10/[1]梦灵属性!$K$26,[1]梦灵属性!$K$56:$K$104,1)</f>
        <v>30</v>
      </c>
      <c r="AJ193" s="350">
        <f>MATCH(_xlfn.XLOOKUP(L193,[1]梦灵本体产出!$D$30:$D$38,[1]梦灵本体产出!$K$30:$K$38)*R193*10/[1]梦灵属性!$K$26,[1]梦灵属性!$K$56:$K$104,1)</f>
        <v>32</v>
      </c>
      <c r="AK193" s="350" t="e">
        <f>MATCH(_xlfn.XLOOKUP(M193,[1]梦灵本体产出!$D$30:$D$38,[1]梦灵本体产出!$K$30:$K$38)*S193*10/[1]梦灵属性!$K$26,[1]梦灵属性!$K$56:$K$104,1)</f>
        <v>#N/A</v>
      </c>
      <c r="AL193" s="350" t="e">
        <f>MATCH(_xlfn.XLOOKUP(N193,[1]梦灵本体产出!$D$30:$D$38,[1]梦灵本体产出!$K$30:$K$38)*T193*10/[1]梦灵属性!$K$26,[1]梦灵属性!$K$56:$K$104,1)</f>
        <v>#N/A</v>
      </c>
      <c r="AM193" s="351"/>
      <c r="AN193" s="266">
        <v>49</v>
      </c>
      <c r="AO193" s="350">
        <f>MATCH(_xlfn.XLOOKUP(K193,[1]梦灵本体产出!$D$30:$D$38,[1]梦灵本体产出!$L$30:$L$38)*Q193*10/[1]梦灵属性!$K$26,[1]梦灵属性!$K$56:$K$104,1)</f>
        <v>21</v>
      </c>
      <c r="AP193" s="350">
        <f>MATCH(_xlfn.XLOOKUP(L193,[1]梦灵本体产出!$D$30:$D$38,[1]梦灵本体产出!$L$30:$L$38)*R193*10/[1]梦灵属性!$K$26,[1]梦灵属性!$K$56:$K$104,1)</f>
        <v>26</v>
      </c>
      <c r="AQ193" s="350" t="e">
        <f>MATCH(_xlfn.XLOOKUP(M193,[1]梦灵本体产出!$D$30:$D$38,[1]梦灵本体产出!$L$30:$L$38)*S193*10/[1]梦灵属性!$K$26,[1]梦灵属性!$K$56:$K$104,1)</f>
        <v>#N/A</v>
      </c>
      <c r="AR193" s="350" t="e">
        <f>MATCH(_xlfn.XLOOKUP(N193,[1]梦灵本体产出!$D$30:$D$38,[1]梦灵本体产出!$L$30:$L$38)*T193*10/[1]梦灵属性!$K$26,[1]梦灵属性!$K$56:$K$104,1)</f>
        <v>#N/A</v>
      </c>
      <c r="AS193" s="351"/>
      <c r="AT193" s="266">
        <v>49</v>
      </c>
      <c r="AU193" s="350">
        <f>IFERROR(MATCH(_xlfn.XLOOKUP(K193,[1]梦灵本体产出!$D$30:$D$38,[1]梦灵本体产出!$M$30:$M$38)*Q193*10/[1]梦灵属性!$K$26,[1]梦灵属性!$K$56:$K$104,1),0)</f>
        <v>11</v>
      </c>
      <c r="AV193" s="350">
        <f>IFERROR(MATCH(_xlfn.XLOOKUP(L193,[1]梦灵本体产出!$D$30:$D$38,[1]梦灵本体产出!$M$30:$M$38)*R193*10/[1]梦灵属性!$K$26,[1]梦灵属性!$K$56:$K$104,1),0)</f>
        <v>15</v>
      </c>
      <c r="AW193" s="350">
        <f>IFERROR(MATCH(_xlfn.XLOOKUP(M193,[1]梦灵本体产出!$D$30:$D$38,[1]梦灵本体产出!$M$30:$M$38)*S193*10/[1]梦灵属性!$K$26,[1]梦灵属性!$K$56:$K$104,1),0)</f>
        <v>0</v>
      </c>
      <c r="AX193" s="350">
        <f>IFERROR(MATCH(_xlfn.XLOOKUP(N193,[1]梦灵本体产出!$D$30:$D$38,[1]梦灵本体产出!$M$30:$M$38)*T193*10/[1]梦灵属性!$K$26,[1]梦灵属性!$K$56:$K$104,1),0)</f>
        <v>0</v>
      </c>
      <c r="AZ193" s="80">
        <f t="shared" si="25"/>
        <v>750</v>
      </c>
    </row>
    <row r="194" outlineLevel="1" spans="2:52">
      <c r="C194" s="80" t="s">
        <v>451</v>
      </c>
      <c r="D194" s="19">
        <v>50</v>
      </c>
      <c r="E194" s="19" t="s">
        <v>447</v>
      </c>
      <c r="F194" s="19" t="s">
        <v>448</v>
      </c>
      <c r="G194" s="19" t="s">
        <v>448</v>
      </c>
      <c r="H194" s="19" t="s">
        <v>448</v>
      </c>
      <c r="J194" s="19">
        <v>50</v>
      </c>
      <c r="K194" s="19">
        <v>5</v>
      </c>
      <c r="L194" s="19">
        <v>5</v>
      </c>
      <c r="M194" s="19">
        <v>6</v>
      </c>
      <c r="N194" s="19">
        <v>7</v>
      </c>
      <c r="P194" s="19">
        <v>50</v>
      </c>
      <c r="Q194" s="266">
        <v>6373.57142857141</v>
      </c>
      <c r="R194" s="266">
        <v>7895.23809523809</v>
      </c>
      <c r="S194" s="266">
        <v>12252.2857142857</v>
      </c>
      <c r="T194" s="266">
        <v>15933.3571428571</v>
      </c>
      <c r="V194" s="19">
        <v>50</v>
      </c>
      <c r="W194" s="350">
        <f t="shared" si="26"/>
        <v>23100</v>
      </c>
      <c r="X194" s="350">
        <f t="shared" si="27"/>
        <v>30030</v>
      </c>
      <c r="Y194" s="350">
        <f t="shared" si="28"/>
        <v>48048</v>
      </c>
      <c r="Z194" s="350">
        <f t="shared" si="29"/>
        <v>63525</v>
      </c>
      <c r="AB194" s="19">
        <v>50</v>
      </c>
      <c r="AC194" s="350">
        <f>MATCH(_xlfn.XLOOKUP(K194,[1]梦灵本体产出!$D$30:$D$38,[1]梦灵本体产出!$J$30:$J$38)*Q194*10/[1]梦灵属性!$K$26,[1]梦灵属性!$K$56:$K$104,1)</f>
        <v>32</v>
      </c>
      <c r="AD194" s="350">
        <f>MATCH(_xlfn.XLOOKUP(L194,[1]梦灵本体产出!$D$30:$D$38,[1]梦灵本体产出!$J$30:$J$38)*R194*10/[1]梦灵属性!$K$26,[1]梦灵属性!$K$56:$K$104,1)</f>
        <v>34</v>
      </c>
      <c r="AE194" s="350" t="e">
        <f>MATCH(_xlfn.XLOOKUP(M194,[1]梦灵本体产出!$D$30:$D$38,[1]梦灵本体产出!$J$30:$J$38)*S194*10/[1]梦灵属性!$K$26,[1]梦灵属性!$K$56:$K$104,1)</f>
        <v>#N/A</v>
      </c>
      <c r="AF194" s="350" t="e">
        <f>MATCH(_xlfn.XLOOKUP(N194,[1]梦灵本体产出!$D$30:$D$38,[1]梦灵本体产出!$J$30:$J$38)*T194*10/[1]梦灵属性!$K$26,[1]梦灵属性!$K$56:$K$104,1)</f>
        <v>#N/A</v>
      </c>
      <c r="AG194" s="351"/>
      <c r="AH194" s="266">
        <v>50</v>
      </c>
      <c r="AI194" s="350">
        <f>MATCH(_xlfn.XLOOKUP(K194,[1]梦灵本体产出!$D$30:$D$38,[1]梦灵本体产出!$K$30:$K$38)*Q194*10/[1]梦灵属性!$K$26,[1]梦灵属性!$K$56:$K$104,1)</f>
        <v>31</v>
      </c>
      <c r="AJ194" s="350">
        <f>MATCH(_xlfn.XLOOKUP(L194,[1]梦灵本体产出!$D$30:$D$38,[1]梦灵本体产出!$K$30:$K$38)*R194*10/[1]梦灵属性!$K$26,[1]梦灵属性!$K$56:$K$104,1)</f>
        <v>33</v>
      </c>
      <c r="AK194" s="350" t="e">
        <f>MATCH(_xlfn.XLOOKUP(M194,[1]梦灵本体产出!$D$30:$D$38,[1]梦灵本体产出!$K$30:$K$38)*S194*10/[1]梦灵属性!$K$26,[1]梦灵属性!$K$56:$K$104,1)</f>
        <v>#N/A</v>
      </c>
      <c r="AL194" s="350" t="e">
        <f>MATCH(_xlfn.XLOOKUP(N194,[1]梦灵本体产出!$D$30:$D$38,[1]梦灵本体产出!$K$30:$K$38)*T194*10/[1]梦灵属性!$K$26,[1]梦灵属性!$K$56:$K$104,1)</f>
        <v>#N/A</v>
      </c>
      <c r="AM194" s="351"/>
      <c r="AN194" s="266">
        <v>50</v>
      </c>
      <c r="AO194" s="350">
        <f>MATCH(_xlfn.XLOOKUP(K194,[1]梦灵本体产出!$D$30:$D$38,[1]梦灵本体产出!$L$30:$L$38)*Q194*10/[1]梦灵属性!$K$26,[1]梦灵属性!$K$56:$K$104,1)</f>
        <v>24</v>
      </c>
      <c r="AP194" s="350">
        <f>MATCH(_xlfn.XLOOKUP(L194,[1]梦灵本体产出!$D$30:$D$38,[1]梦灵本体产出!$L$30:$L$38)*R194*10/[1]梦灵属性!$K$26,[1]梦灵属性!$K$56:$K$104,1)</f>
        <v>26</v>
      </c>
      <c r="AQ194" s="350" t="e">
        <f>MATCH(_xlfn.XLOOKUP(M194,[1]梦灵本体产出!$D$30:$D$38,[1]梦灵本体产出!$L$30:$L$38)*S194*10/[1]梦灵属性!$K$26,[1]梦灵属性!$K$56:$K$104,1)</f>
        <v>#N/A</v>
      </c>
      <c r="AR194" s="350" t="e">
        <f>MATCH(_xlfn.XLOOKUP(N194,[1]梦灵本体产出!$D$30:$D$38,[1]梦灵本体产出!$L$30:$L$38)*T194*10/[1]梦灵属性!$K$26,[1]梦灵属性!$K$56:$K$104,1)</f>
        <v>#N/A</v>
      </c>
      <c r="AS194" s="351"/>
      <c r="AT194" s="266">
        <v>50</v>
      </c>
      <c r="AU194" s="350">
        <f>IFERROR(MATCH(_xlfn.XLOOKUP(K194,[1]梦灵本体产出!$D$30:$D$38,[1]梦灵本体产出!$M$30:$M$38)*Q194*10/[1]梦灵属性!$K$26,[1]梦灵属性!$K$56:$K$104,1),0)</f>
        <v>13</v>
      </c>
      <c r="AV194" s="350">
        <f>IFERROR(MATCH(_xlfn.XLOOKUP(L194,[1]梦灵本体产出!$D$30:$D$38,[1]梦灵本体产出!$M$30:$M$38)*R194*10/[1]梦灵属性!$K$26,[1]梦灵属性!$K$56:$K$104,1),0)</f>
        <v>15</v>
      </c>
      <c r="AW194" s="350">
        <f>IFERROR(MATCH(_xlfn.XLOOKUP(M194,[1]梦灵本体产出!$D$30:$D$38,[1]梦灵本体产出!$M$30:$M$38)*S194*10/[1]梦灵属性!$K$26,[1]梦灵属性!$K$56:$K$104,1),0)</f>
        <v>0</v>
      </c>
      <c r="AX194" s="350">
        <f>IFERROR(MATCH(_xlfn.XLOOKUP(N194,[1]梦灵本体产出!$D$30:$D$38,[1]梦灵本体产出!$M$30:$M$38)*T194*10/[1]梦灵属性!$K$26,[1]梦灵属性!$K$56:$K$104,1),0)</f>
        <v>0</v>
      </c>
      <c r="AZ194" s="80">
        <f t="shared" si="25"/>
        <v>795.6</v>
      </c>
    </row>
    <row r="195" outlineLevel="1" spans="2:52">
      <c r="C195" s="80" t="s">
        <v>451</v>
      </c>
      <c r="D195" s="19">
        <v>51</v>
      </c>
      <c r="E195" s="19" t="s">
        <v>447</v>
      </c>
      <c r="F195" s="19" t="s">
        <v>448</v>
      </c>
      <c r="G195" s="19" t="s">
        <v>448</v>
      </c>
      <c r="H195" s="19" t="s">
        <v>448</v>
      </c>
      <c r="J195" s="19">
        <v>51</v>
      </c>
      <c r="K195" s="19">
        <v>5</v>
      </c>
      <c r="L195" s="19">
        <v>5</v>
      </c>
      <c r="M195" s="19">
        <v>6</v>
      </c>
      <c r="N195" s="19">
        <v>7</v>
      </c>
      <c r="P195" s="19">
        <v>51</v>
      </c>
      <c r="Q195" s="266">
        <v>6487.34285714283</v>
      </c>
      <c r="R195" s="266">
        <v>8038.34285714285</v>
      </c>
      <c r="S195" s="266">
        <v>12480.7714285714</v>
      </c>
      <c r="T195" s="266">
        <v>16235.4642857143</v>
      </c>
      <c r="V195" s="19">
        <v>51</v>
      </c>
      <c r="W195" s="350">
        <f t="shared" si="26"/>
        <v>23100</v>
      </c>
      <c r="X195" s="350">
        <f t="shared" si="27"/>
        <v>30030</v>
      </c>
      <c r="Y195" s="350">
        <f t="shared" si="28"/>
        <v>48048</v>
      </c>
      <c r="Z195" s="350">
        <f t="shared" si="29"/>
        <v>63525</v>
      </c>
      <c r="AB195" s="19">
        <v>51</v>
      </c>
      <c r="AC195" s="350">
        <f>MATCH(_xlfn.XLOOKUP(K195,[1]梦灵本体产出!$D$30:$D$38,[1]梦灵本体产出!$J$30:$J$38)*Q195*10/[1]梦灵属性!$K$26,[1]梦灵属性!$K$56:$K$104,1)</f>
        <v>33</v>
      </c>
      <c r="AD195" s="350">
        <f>MATCH(_xlfn.XLOOKUP(L195,[1]梦灵本体产出!$D$30:$D$38,[1]梦灵本体产出!$J$30:$J$38)*R195*10/[1]梦灵属性!$K$26,[1]梦灵属性!$K$56:$K$104,1)</f>
        <v>34</v>
      </c>
      <c r="AE195" s="350" t="e">
        <f>MATCH(_xlfn.XLOOKUP(M195,[1]梦灵本体产出!$D$30:$D$38,[1]梦灵本体产出!$J$30:$J$38)*S195*10/[1]梦灵属性!$K$26,[1]梦灵属性!$K$56:$K$104,1)</f>
        <v>#N/A</v>
      </c>
      <c r="AF195" s="350" t="e">
        <f>MATCH(_xlfn.XLOOKUP(N195,[1]梦灵本体产出!$D$30:$D$38,[1]梦灵本体产出!$J$30:$J$38)*T195*10/[1]梦灵属性!$K$26,[1]梦灵属性!$K$56:$K$104,1)</f>
        <v>#N/A</v>
      </c>
      <c r="AG195" s="351"/>
      <c r="AH195" s="266">
        <v>51</v>
      </c>
      <c r="AI195" s="350">
        <f>MATCH(_xlfn.XLOOKUP(K195,[1]梦灵本体产出!$D$30:$D$38,[1]梦灵本体产出!$K$30:$K$38)*Q195*10/[1]梦灵属性!$K$26,[1]梦灵属性!$K$56:$K$104,1)</f>
        <v>31</v>
      </c>
      <c r="AJ195" s="350">
        <f>MATCH(_xlfn.XLOOKUP(L195,[1]梦灵本体产出!$D$30:$D$38,[1]梦灵本体产出!$K$30:$K$38)*R195*10/[1]梦灵属性!$K$26,[1]梦灵属性!$K$56:$K$104,1)</f>
        <v>33</v>
      </c>
      <c r="AK195" s="350" t="e">
        <f>MATCH(_xlfn.XLOOKUP(M195,[1]梦灵本体产出!$D$30:$D$38,[1]梦灵本体产出!$K$30:$K$38)*S195*10/[1]梦灵属性!$K$26,[1]梦灵属性!$K$56:$K$104,1)</f>
        <v>#N/A</v>
      </c>
      <c r="AL195" s="350" t="e">
        <f>MATCH(_xlfn.XLOOKUP(N195,[1]梦灵本体产出!$D$30:$D$38,[1]梦灵本体产出!$K$30:$K$38)*T195*10/[1]梦灵属性!$K$26,[1]梦灵属性!$K$56:$K$104,1)</f>
        <v>#N/A</v>
      </c>
      <c r="AM195" s="351"/>
      <c r="AN195" s="266">
        <v>51</v>
      </c>
      <c r="AO195" s="350">
        <f>MATCH(_xlfn.XLOOKUP(K195,[1]梦灵本体产出!$D$30:$D$38,[1]梦灵本体产出!$L$30:$L$38)*Q195*10/[1]梦灵属性!$K$26,[1]梦灵属性!$K$56:$K$104,1)</f>
        <v>24</v>
      </c>
      <c r="AP195" s="350">
        <f>MATCH(_xlfn.XLOOKUP(L195,[1]梦灵本体产出!$D$30:$D$38,[1]梦灵本体产出!$L$30:$L$38)*R195*10/[1]梦灵属性!$K$26,[1]梦灵属性!$K$56:$K$104,1)</f>
        <v>26</v>
      </c>
      <c r="AQ195" s="350" t="e">
        <f>MATCH(_xlfn.XLOOKUP(M195,[1]梦灵本体产出!$D$30:$D$38,[1]梦灵本体产出!$L$30:$L$38)*S195*10/[1]梦灵属性!$K$26,[1]梦灵属性!$K$56:$K$104,1)</f>
        <v>#N/A</v>
      </c>
      <c r="AR195" s="350" t="e">
        <f>MATCH(_xlfn.XLOOKUP(N195,[1]梦灵本体产出!$D$30:$D$38,[1]梦灵本体产出!$L$30:$L$38)*T195*10/[1]梦灵属性!$K$26,[1]梦灵属性!$K$56:$K$104,1)</f>
        <v>#N/A</v>
      </c>
      <c r="AS195" s="351"/>
      <c r="AT195" s="266">
        <v>51</v>
      </c>
      <c r="AU195" s="350">
        <f>IFERROR(MATCH(_xlfn.XLOOKUP(K195,[1]梦灵本体产出!$D$30:$D$38,[1]梦灵本体产出!$M$30:$M$38)*Q195*10/[1]梦灵属性!$K$26,[1]梦灵属性!$K$56:$K$104,1),0)</f>
        <v>14</v>
      </c>
      <c r="AV195" s="350">
        <f>IFERROR(MATCH(_xlfn.XLOOKUP(L195,[1]梦灵本体产出!$D$30:$D$38,[1]梦灵本体产出!$M$30:$M$38)*R195*10/[1]梦灵属性!$K$26,[1]梦灵属性!$K$56:$K$104,1),0)</f>
        <v>15</v>
      </c>
      <c r="AW195" s="350">
        <f>IFERROR(MATCH(_xlfn.XLOOKUP(M195,[1]梦灵本体产出!$D$30:$D$38,[1]梦灵本体产出!$M$30:$M$38)*S195*10/[1]梦灵属性!$K$26,[1]梦灵属性!$K$56:$K$104,1),0)</f>
        <v>0</v>
      </c>
      <c r="AX195" s="350">
        <f>IFERROR(MATCH(_xlfn.XLOOKUP(N195,[1]梦灵本体产出!$D$30:$D$38,[1]梦灵本体产出!$M$30:$M$38)*T195*10/[1]梦灵属性!$K$26,[1]梦灵属性!$K$56:$K$104,1),0)</f>
        <v>0</v>
      </c>
      <c r="AZ195" s="80">
        <f t="shared" si="25"/>
        <v>808.2</v>
      </c>
    </row>
    <row r="196" outlineLevel="1" spans="2:52">
      <c r="C196" s="80" t="s">
        <v>451</v>
      </c>
      <c r="D196" s="19">
        <v>52</v>
      </c>
      <c r="E196" s="19" t="s">
        <v>447</v>
      </c>
      <c r="F196" s="19" t="s">
        <v>448</v>
      </c>
      <c r="G196" s="19" t="s">
        <v>448</v>
      </c>
      <c r="H196" s="19" t="s">
        <v>448</v>
      </c>
      <c r="J196" s="19">
        <v>52</v>
      </c>
      <c r="K196" s="19">
        <v>5</v>
      </c>
      <c r="L196" s="19">
        <v>5</v>
      </c>
      <c r="M196" s="19">
        <v>6</v>
      </c>
      <c r="N196" s="19">
        <v>7</v>
      </c>
      <c r="P196" s="19">
        <v>52</v>
      </c>
      <c r="Q196" s="266">
        <v>6601.11428571426</v>
      </c>
      <c r="R196" s="266">
        <v>8181.44761904761</v>
      </c>
      <c r="S196" s="266">
        <v>12709.2571428572</v>
      </c>
      <c r="T196" s="266">
        <v>16537.5714285714</v>
      </c>
      <c r="V196" s="19">
        <v>52</v>
      </c>
      <c r="W196" s="350">
        <f t="shared" ref="W196:W204" si="30">100*30*1.1*7</f>
        <v>23100</v>
      </c>
      <c r="X196" s="350">
        <f t="shared" ref="X196:X204" si="31">130*1.1*30*7</f>
        <v>30030</v>
      </c>
      <c r="Y196" s="350">
        <f t="shared" ref="Y196:Y204" si="32">208*1.1*30*7</f>
        <v>48048</v>
      </c>
      <c r="Z196" s="350">
        <f t="shared" ref="Z196:Z204" si="33">275*1.1*30*7</f>
        <v>63525</v>
      </c>
      <c r="AB196" s="19">
        <v>52</v>
      </c>
      <c r="AC196" s="350">
        <f>MATCH(_xlfn.XLOOKUP(K196,[1]梦灵本体产出!$D$30:$D$38,[1]梦灵本体产出!$J$30:$J$38)*Q196*10/[1]梦灵属性!$K$26,[1]梦灵属性!$K$56:$K$104,1)</f>
        <v>33</v>
      </c>
      <c r="AD196" s="350">
        <f>MATCH(_xlfn.XLOOKUP(L196,[1]梦灵本体产出!$D$30:$D$38,[1]梦灵本体产出!$J$30:$J$38)*R196*10/[1]梦灵属性!$K$26,[1]梦灵属性!$K$56:$K$104,1)</f>
        <v>35</v>
      </c>
      <c r="AE196" s="350" t="e">
        <f>MATCH(_xlfn.XLOOKUP(M196,[1]梦灵本体产出!$D$30:$D$38,[1]梦灵本体产出!$J$30:$J$38)*S196*10/[1]梦灵属性!$K$26,[1]梦灵属性!$K$56:$K$104,1)</f>
        <v>#N/A</v>
      </c>
      <c r="AF196" s="350" t="e">
        <f>MATCH(_xlfn.XLOOKUP(N196,[1]梦灵本体产出!$D$30:$D$38,[1]梦灵本体产出!$J$30:$J$38)*T196*10/[1]梦灵属性!$K$26,[1]梦灵属性!$K$56:$K$104,1)</f>
        <v>#N/A</v>
      </c>
      <c r="AG196" s="351"/>
      <c r="AH196" s="266">
        <v>52</v>
      </c>
      <c r="AI196" s="350">
        <f>MATCH(_xlfn.XLOOKUP(K196,[1]梦灵本体产出!$D$30:$D$38,[1]梦灵本体产出!$K$30:$K$38)*Q196*10/[1]梦灵属性!$K$26,[1]梦灵属性!$K$56:$K$104,1)</f>
        <v>31</v>
      </c>
      <c r="AJ196" s="350">
        <f>MATCH(_xlfn.XLOOKUP(L196,[1]梦灵本体产出!$D$30:$D$38,[1]梦灵本体产出!$K$30:$K$38)*R196*10/[1]梦灵属性!$K$26,[1]梦灵属性!$K$56:$K$104,1)</f>
        <v>33</v>
      </c>
      <c r="AK196" s="350" t="e">
        <f>MATCH(_xlfn.XLOOKUP(M196,[1]梦灵本体产出!$D$30:$D$38,[1]梦灵本体产出!$K$30:$K$38)*S196*10/[1]梦灵属性!$K$26,[1]梦灵属性!$K$56:$K$104,1)</f>
        <v>#N/A</v>
      </c>
      <c r="AL196" s="350" t="e">
        <f>MATCH(_xlfn.XLOOKUP(N196,[1]梦灵本体产出!$D$30:$D$38,[1]梦灵本体产出!$K$30:$K$38)*T196*10/[1]梦灵属性!$K$26,[1]梦灵属性!$K$56:$K$104,1)</f>
        <v>#N/A</v>
      </c>
      <c r="AM196" s="351"/>
      <c r="AN196" s="266">
        <v>52</v>
      </c>
      <c r="AO196" s="350">
        <f>MATCH(_xlfn.XLOOKUP(K196,[1]梦灵本体产出!$D$30:$D$38,[1]梦灵本体产出!$L$30:$L$38)*Q196*10/[1]梦灵属性!$K$26,[1]梦灵属性!$K$56:$K$104,1)</f>
        <v>24</v>
      </c>
      <c r="AP196" s="350">
        <f>MATCH(_xlfn.XLOOKUP(L196,[1]梦灵本体产出!$D$30:$D$38,[1]梦灵本体产出!$L$30:$L$38)*R196*10/[1]梦灵属性!$K$26,[1]梦灵属性!$K$56:$K$104,1)</f>
        <v>26</v>
      </c>
      <c r="AQ196" s="350" t="e">
        <f>MATCH(_xlfn.XLOOKUP(M196,[1]梦灵本体产出!$D$30:$D$38,[1]梦灵本体产出!$L$30:$L$38)*S196*10/[1]梦灵属性!$K$26,[1]梦灵属性!$K$56:$K$104,1)</f>
        <v>#N/A</v>
      </c>
      <c r="AR196" s="350" t="e">
        <f>MATCH(_xlfn.XLOOKUP(N196,[1]梦灵本体产出!$D$30:$D$38,[1]梦灵本体产出!$L$30:$L$38)*T196*10/[1]梦灵属性!$K$26,[1]梦灵属性!$K$56:$K$104,1)</f>
        <v>#N/A</v>
      </c>
      <c r="AS196" s="351"/>
      <c r="AT196" s="266">
        <v>52</v>
      </c>
      <c r="AU196" s="350">
        <f>IFERROR(MATCH(_xlfn.XLOOKUP(K196,[1]梦灵本体产出!$D$30:$D$38,[1]梦灵本体产出!$M$30:$M$38)*Q196*10/[1]梦灵属性!$K$26,[1]梦灵属性!$K$56:$K$104,1),0)</f>
        <v>14</v>
      </c>
      <c r="AV196" s="350">
        <f>IFERROR(MATCH(_xlfn.XLOOKUP(L196,[1]梦灵本体产出!$D$30:$D$38,[1]梦灵本体产出!$M$30:$M$38)*R196*10/[1]梦灵属性!$K$26,[1]梦灵属性!$K$56:$K$104,1),0)</f>
        <v>15</v>
      </c>
      <c r="AW196" s="350">
        <f>IFERROR(MATCH(_xlfn.XLOOKUP(M196,[1]梦灵本体产出!$D$30:$D$38,[1]梦灵本体产出!$M$30:$M$38)*S196*10/[1]梦灵属性!$K$26,[1]梦灵属性!$K$56:$K$104,1),0)</f>
        <v>0</v>
      </c>
      <c r="AX196" s="350">
        <f>IFERROR(MATCH(_xlfn.XLOOKUP(N196,[1]梦灵本体产出!$D$30:$D$38,[1]梦灵本体产出!$M$30:$M$38)*T196*10/[1]梦灵属性!$K$26,[1]梦灵属性!$K$56:$K$104,1),0)</f>
        <v>0</v>
      </c>
      <c r="AZ196" s="80">
        <f t="shared" si="25"/>
        <v>808.2</v>
      </c>
    </row>
    <row r="197" outlineLevel="1" spans="2:52">
      <c r="C197" s="80" t="s">
        <v>451</v>
      </c>
      <c r="D197" s="19">
        <v>53</v>
      </c>
      <c r="E197" s="19" t="s">
        <v>447</v>
      </c>
      <c r="F197" s="19" t="s">
        <v>448</v>
      </c>
      <c r="G197" s="19" t="s">
        <v>448</v>
      </c>
      <c r="H197" s="19" t="s">
        <v>448</v>
      </c>
      <c r="J197" s="19">
        <v>53</v>
      </c>
      <c r="K197" s="19">
        <v>5</v>
      </c>
      <c r="L197" s="19">
        <v>5</v>
      </c>
      <c r="M197" s="19">
        <v>6</v>
      </c>
      <c r="N197" s="19">
        <v>7</v>
      </c>
      <c r="P197" s="19">
        <v>53</v>
      </c>
      <c r="Q197" s="266">
        <v>6714.88571428569</v>
      </c>
      <c r="R197" s="266">
        <v>8324.55238095238</v>
      </c>
      <c r="S197" s="266">
        <v>12937.7428571429</v>
      </c>
      <c r="T197" s="266">
        <v>16839.6785714286</v>
      </c>
      <c r="V197" s="19">
        <v>53</v>
      </c>
      <c r="W197" s="350">
        <f t="shared" si="30"/>
        <v>23100</v>
      </c>
      <c r="X197" s="350">
        <f t="shared" si="31"/>
        <v>30030</v>
      </c>
      <c r="Y197" s="350">
        <f t="shared" si="32"/>
        <v>48048</v>
      </c>
      <c r="Z197" s="350">
        <f t="shared" si="33"/>
        <v>63525</v>
      </c>
      <c r="AB197" s="19">
        <v>53</v>
      </c>
      <c r="AC197" s="350">
        <f>MATCH(_xlfn.XLOOKUP(K197,[1]梦灵本体产出!$D$30:$D$38,[1]梦灵本体产出!$J$30:$J$38)*Q197*10/[1]梦灵属性!$K$26,[1]梦灵属性!$K$56:$K$104,1)</f>
        <v>33</v>
      </c>
      <c r="AD197" s="350">
        <f>MATCH(_xlfn.XLOOKUP(L197,[1]梦灵本体产出!$D$30:$D$38,[1]梦灵本体产出!$J$30:$J$38)*R197*10/[1]梦灵属性!$K$26,[1]梦灵属性!$K$56:$K$104,1)</f>
        <v>35</v>
      </c>
      <c r="AE197" s="350" t="e">
        <f>MATCH(_xlfn.XLOOKUP(M197,[1]梦灵本体产出!$D$30:$D$38,[1]梦灵本体产出!$J$30:$J$38)*S197*10/[1]梦灵属性!$K$26,[1]梦灵属性!$K$56:$K$104,1)</f>
        <v>#N/A</v>
      </c>
      <c r="AF197" s="350" t="e">
        <f>MATCH(_xlfn.XLOOKUP(N197,[1]梦灵本体产出!$D$30:$D$38,[1]梦灵本体产出!$J$30:$J$38)*T197*10/[1]梦灵属性!$K$26,[1]梦灵属性!$K$56:$K$104,1)</f>
        <v>#N/A</v>
      </c>
      <c r="AG197" s="351"/>
      <c r="AH197" s="266">
        <v>53</v>
      </c>
      <c r="AI197" s="350">
        <f>MATCH(_xlfn.XLOOKUP(K197,[1]梦灵本体产出!$D$30:$D$38,[1]梦灵本体产出!$K$30:$K$38)*Q197*10/[1]梦灵属性!$K$26,[1]梦灵属性!$K$56:$K$104,1)</f>
        <v>31</v>
      </c>
      <c r="AJ197" s="350">
        <f>MATCH(_xlfn.XLOOKUP(L197,[1]梦灵本体产出!$D$30:$D$38,[1]梦灵本体产出!$K$30:$K$38)*R197*10/[1]梦灵属性!$K$26,[1]梦灵属性!$K$56:$K$104,1)</f>
        <v>33</v>
      </c>
      <c r="AK197" s="350" t="e">
        <f>MATCH(_xlfn.XLOOKUP(M197,[1]梦灵本体产出!$D$30:$D$38,[1]梦灵本体产出!$K$30:$K$38)*S197*10/[1]梦灵属性!$K$26,[1]梦灵属性!$K$56:$K$104,1)</f>
        <v>#N/A</v>
      </c>
      <c r="AL197" s="350" t="e">
        <f>MATCH(_xlfn.XLOOKUP(N197,[1]梦灵本体产出!$D$30:$D$38,[1]梦灵本体产出!$K$30:$K$38)*T197*10/[1]梦灵属性!$K$26,[1]梦灵属性!$K$56:$K$104,1)</f>
        <v>#N/A</v>
      </c>
      <c r="AM197" s="351"/>
      <c r="AN197" s="266">
        <v>53</v>
      </c>
      <c r="AO197" s="350">
        <f>MATCH(_xlfn.XLOOKUP(K197,[1]梦灵本体产出!$D$30:$D$38,[1]梦灵本体产出!$L$30:$L$38)*Q197*10/[1]梦灵属性!$K$26,[1]梦灵属性!$K$56:$K$104,1)</f>
        <v>25</v>
      </c>
      <c r="AP197" s="350">
        <f>MATCH(_xlfn.XLOOKUP(L197,[1]梦灵本体产出!$D$30:$D$38,[1]梦灵本体产出!$L$30:$L$38)*R197*10/[1]梦灵属性!$K$26,[1]梦灵属性!$K$56:$K$104,1)</f>
        <v>26</v>
      </c>
      <c r="AQ197" s="350" t="e">
        <f>MATCH(_xlfn.XLOOKUP(M197,[1]梦灵本体产出!$D$30:$D$38,[1]梦灵本体产出!$L$30:$L$38)*S197*10/[1]梦灵属性!$K$26,[1]梦灵属性!$K$56:$K$104,1)</f>
        <v>#N/A</v>
      </c>
      <c r="AR197" s="350" t="e">
        <f>MATCH(_xlfn.XLOOKUP(N197,[1]梦灵本体产出!$D$30:$D$38,[1]梦灵本体产出!$L$30:$L$38)*T197*10/[1]梦灵属性!$K$26,[1]梦灵属性!$K$56:$K$104,1)</f>
        <v>#N/A</v>
      </c>
      <c r="AS197" s="351"/>
      <c r="AT197" s="266">
        <v>53</v>
      </c>
      <c r="AU197" s="350">
        <f>IFERROR(MATCH(_xlfn.XLOOKUP(K197,[1]梦灵本体产出!$D$30:$D$38,[1]梦灵本体产出!$M$30:$M$38)*Q197*10/[1]梦灵属性!$K$26,[1]梦灵属性!$K$56:$K$104,1),0)</f>
        <v>14</v>
      </c>
      <c r="AV197" s="350">
        <f>IFERROR(MATCH(_xlfn.XLOOKUP(L197,[1]梦灵本体产出!$D$30:$D$38,[1]梦灵本体产出!$M$30:$M$38)*R197*10/[1]梦灵属性!$K$26,[1]梦灵属性!$K$56:$K$104,1),0)</f>
        <v>15</v>
      </c>
      <c r="AW197" s="350">
        <f>IFERROR(MATCH(_xlfn.XLOOKUP(M197,[1]梦灵本体产出!$D$30:$D$38,[1]梦灵本体产出!$M$30:$M$38)*S197*10/[1]梦灵属性!$K$26,[1]梦灵属性!$K$56:$K$104,1),0)</f>
        <v>0</v>
      </c>
      <c r="AX197" s="350">
        <f>IFERROR(MATCH(_xlfn.XLOOKUP(N197,[1]梦灵本体产出!$D$30:$D$38,[1]梦灵本体产出!$M$30:$M$38)*T197*10/[1]梦灵属性!$K$26,[1]梦灵属性!$K$56:$K$104,1),0)</f>
        <v>0</v>
      </c>
      <c r="AZ197" s="80">
        <f t="shared" si="25"/>
        <v>816.6</v>
      </c>
    </row>
    <row r="198" outlineLevel="1" spans="2:52">
      <c r="C198" s="80" t="s">
        <v>451</v>
      </c>
      <c r="D198" s="19">
        <v>54</v>
      </c>
      <c r="E198" s="19" t="s">
        <v>447</v>
      </c>
      <c r="F198" s="19" t="s">
        <v>448</v>
      </c>
      <c r="G198" s="19" t="s">
        <v>448</v>
      </c>
      <c r="H198" s="19" t="s">
        <v>448</v>
      </c>
      <c r="J198" s="19">
        <v>54</v>
      </c>
      <c r="K198" s="19">
        <v>5</v>
      </c>
      <c r="L198" s="19">
        <v>5</v>
      </c>
      <c r="M198" s="19">
        <v>6</v>
      </c>
      <c r="N198" s="19">
        <v>7</v>
      </c>
      <c r="P198" s="19">
        <v>54</v>
      </c>
      <c r="Q198" s="266">
        <v>6828.65714285712</v>
      </c>
      <c r="R198" s="266">
        <v>8467.65714285714</v>
      </c>
      <c r="S198" s="266">
        <v>13166.2285714286</v>
      </c>
      <c r="T198" s="266">
        <v>17141.7857142857</v>
      </c>
      <c r="V198" s="19">
        <v>54</v>
      </c>
      <c r="W198" s="350">
        <f t="shared" si="30"/>
        <v>23100</v>
      </c>
      <c r="X198" s="350">
        <f t="shared" si="31"/>
        <v>30030</v>
      </c>
      <c r="Y198" s="350">
        <f t="shared" si="32"/>
        <v>48048</v>
      </c>
      <c r="Z198" s="350">
        <f t="shared" si="33"/>
        <v>63525</v>
      </c>
      <c r="AB198" s="19">
        <v>54</v>
      </c>
      <c r="AC198" s="350">
        <f>MATCH(_xlfn.XLOOKUP(K198,[1]梦灵本体产出!$D$30:$D$38,[1]梦灵本体产出!$J$30:$J$38)*Q198*10/[1]梦灵属性!$K$26,[1]梦灵属性!$K$56:$K$104,1)</f>
        <v>33</v>
      </c>
      <c r="AD198" s="350">
        <f>MATCH(_xlfn.XLOOKUP(L198,[1]梦灵本体产出!$D$30:$D$38,[1]梦灵本体产出!$J$30:$J$38)*R198*10/[1]梦灵属性!$K$26,[1]梦灵属性!$K$56:$K$104,1)</f>
        <v>35</v>
      </c>
      <c r="AE198" s="350" t="e">
        <f>MATCH(_xlfn.XLOOKUP(M198,[1]梦灵本体产出!$D$30:$D$38,[1]梦灵本体产出!$J$30:$J$38)*S198*10/[1]梦灵属性!$K$26,[1]梦灵属性!$K$56:$K$104,1)</f>
        <v>#N/A</v>
      </c>
      <c r="AF198" s="350" t="e">
        <f>MATCH(_xlfn.XLOOKUP(N198,[1]梦灵本体产出!$D$30:$D$38,[1]梦灵本体产出!$J$30:$J$38)*T198*10/[1]梦灵属性!$K$26,[1]梦灵属性!$K$56:$K$104,1)</f>
        <v>#N/A</v>
      </c>
      <c r="AG198" s="351"/>
      <c r="AH198" s="266">
        <v>54</v>
      </c>
      <c r="AI198" s="350">
        <f>MATCH(_xlfn.XLOOKUP(K198,[1]梦灵本体产出!$D$30:$D$38,[1]梦灵本体产出!$K$30:$K$38)*Q198*10/[1]梦灵属性!$K$26,[1]梦灵属性!$K$56:$K$104,1)</f>
        <v>31</v>
      </c>
      <c r="AJ198" s="350">
        <f>MATCH(_xlfn.XLOOKUP(L198,[1]梦灵本体产出!$D$30:$D$38,[1]梦灵本体产出!$K$30:$K$38)*R198*10/[1]梦灵属性!$K$26,[1]梦灵属性!$K$56:$K$104,1)</f>
        <v>33</v>
      </c>
      <c r="AK198" s="350" t="e">
        <f>MATCH(_xlfn.XLOOKUP(M198,[1]梦灵本体产出!$D$30:$D$38,[1]梦灵本体产出!$K$30:$K$38)*S198*10/[1]梦灵属性!$K$26,[1]梦灵属性!$K$56:$K$104,1)</f>
        <v>#N/A</v>
      </c>
      <c r="AL198" s="350" t="e">
        <f>MATCH(_xlfn.XLOOKUP(N198,[1]梦灵本体产出!$D$30:$D$38,[1]梦灵本体产出!$K$30:$K$38)*T198*10/[1]梦灵属性!$K$26,[1]梦灵属性!$K$56:$K$104,1)</f>
        <v>#N/A</v>
      </c>
      <c r="AM198" s="351"/>
      <c r="AN198" s="266">
        <v>54</v>
      </c>
      <c r="AO198" s="350">
        <f>MATCH(_xlfn.XLOOKUP(K198,[1]梦灵本体产出!$D$30:$D$38,[1]梦灵本体产出!$L$30:$L$38)*Q198*10/[1]梦灵属性!$K$26,[1]梦灵属性!$K$56:$K$104,1)</f>
        <v>25</v>
      </c>
      <c r="AP198" s="350">
        <f>MATCH(_xlfn.XLOOKUP(L198,[1]梦灵本体产出!$D$30:$D$38,[1]梦灵本体产出!$L$30:$L$38)*R198*10/[1]梦灵属性!$K$26,[1]梦灵属性!$K$56:$K$104,1)</f>
        <v>26</v>
      </c>
      <c r="AQ198" s="350" t="e">
        <f>MATCH(_xlfn.XLOOKUP(M198,[1]梦灵本体产出!$D$30:$D$38,[1]梦灵本体产出!$L$30:$L$38)*S198*10/[1]梦灵属性!$K$26,[1]梦灵属性!$K$56:$K$104,1)</f>
        <v>#N/A</v>
      </c>
      <c r="AR198" s="350" t="e">
        <f>MATCH(_xlfn.XLOOKUP(N198,[1]梦灵本体产出!$D$30:$D$38,[1]梦灵本体产出!$L$30:$L$38)*T198*10/[1]梦灵属性!$K$26,[1]梦灵属性!$K$56:$K$104,1)</f>
        <v>#N/A</v>
      </c>
      <c r="AS198" s="351"/>
      <c r="AT198" s="266">
        <v>54</v>
      </c>
      <c r="AU198" s="350">
        <f>IFERROR(MATCH(_xlfn.XLOOKUP(K198,[1]梦灵本体产出!$D$30:$D$38,[1]梦灵本体产出!$M$30:$M$38)*Q198*10/[1]梦灵属性!$K$26,[1]梦灵属性!$K$56:$K$104,1),0)</f>
        <v>14</v>
      </c>
      <c r="AV198" s="350">
        <f>IFERROR(MATCH(_xlfn.XLOOKUP(L198,[1]梦灵本体产出!$D$30:$D$38,[1]梦灵本体产出!$M$30:$M$38)*R198*10/[1]梦灵属性!$K$26,[1]梦灵属性!$K$56:$K$104,1),0)</f>
        <v>15</v>
      </c>
      <c r="AW198" s="350">
        <f>IFERROR(MATCH(_xlfn.XLOOKUP(M198,[1]梦灵本体产出!$D$30:$D$38,[1]梦灵本体产出!$M$30:$M$38)*S198*10/[1]梦灵属性!$K$26,[1]梦灵属性!$K$56:$K$104,1),0)</f>
        <v>0</v>
      </c>
      <c r="AX198" s="350">
        <f>IFERROR(MATCH(_xlfn.XLOOKUP(N198,[1]梦灵本体产出!$D$30:$D$38,[1]梦灵本体产出!$M$30:$M$38)*T198*10/[1]梦灵属性!$K$26,[1]梦灵属性!$K$56:$K$104,1),0)</f>
        <v>0</v>
      </c>
      <c r="AZ198" s="80">
        <f t="shared" si="25"/>
        <v>816.6</v>
      </c>
    </row>
    <row r="199" outlineLevel="1" spans="2:52">
      <c r="C199" s="80" t="s">
        <v>451</v>
      </c>
      <c r="D199" s="19">
        <v>55</v>
      </c>
      <c r="E199" s="19" t="s">
        <v>447</v>
      </c>
      <c r="F199" s="19" t="s">
        <v>448</v>
      </c>
      <c r="G199" s="19" t="s">
        <v>448</v>
      </c>
      <c r="H199" s="19" t="s">
        <v>448</v>
      </c>
      <c r="J199" s="19">
        <v>55</v>
      </c>
      <c r="K199" s="19">
        <v>5</v>
      </c>
      <c r="L199" s="19">
        <v>5</v>
      </c>
      <c r="M199" s="19">
        <v>6</v>
      </c>
      <c r="N199" s="19">
        <v>7</v>
      </c>
      <c r="P199" s="19">
        <v>55</v>
      </c>
      <c r="Q199" s="266">
        <v>6942.42857142855</v>
      </c>
      <c r="R199" s="266">
        <v>8610.7619047619</v>
      </c>
      <c r="S199" s="266">
        <v>13394.7142857143</v>
      </c>
      <c r="T199" s="266">
        <v>17443.8928571428</v>
      </c>
      <c r="V199" s="19">
        <v>55</v>
      </c>
      <c r="W199" s="350">
        <f t="shared" si="30"/>
        <v>23100</v>
      </c>
      <c r="X199" s="350">
        <f t="shared" si="31"/>
        <v>30030</v>
      </c>
      <c r="Y199" s="350">
        <f t="shared" si="32"/>
        <v>48048</v>
      </c>
      <c r="Z199" s="350">
        <f t="shared" si="33"/>
        <v>63525</v>
      </c>
      <c r="AB199" s="19">
        <v>55</v>
      </c>
      <c r="AC199" s="350">
        <f>MATCH(_xlfn.XLOOKUP(K199,[1]梦灵本体产出!$D$30:$D$38,[1]梦灵本体产出!$J$30:$J$38)*Q199*10/[1]梦灵属性!$K$26,[1]梦灵属性!$K$56:$K$104,1)</f>
        <v>33</v>
      </c>
      <c r="AD199" s="350">
        <f>MATCH(_xlfn.XLOOKUP(L199,[1]梦灵本体产出!$D$30:$D$38,[1]梦灵本体产出!$J$30:$J$38)*R199*10/[1]梦灵属性!$K$26,[1]梦灵属性!$K$56:$K$104,1)</f>
        <v>35</v>
      </c>
      <c r="AE199" s="350" t="e">
        <f>MATCH(_xlfn.XLOOKUP(M199,[1]梦灵本体产出!$D$30:$D$38,[1]梦灵本体产出!$J$30:$J$38)*S199*10/[1]梦灵属性!$K$26,[1]梦灵属性!$K$56:$K$104,1)</f>
        <v>#N/A</v>
      </c>
      <c r="AF199" s="350" t="e">
        <f>MATCH(_xlfn.XLOOKUP(N199,[1]梦灵本体产出!$D$30:$D$38,[1]梦灵本体产出!$J$30:$J$38)*T199*10/[1]梦灵属性!$K$26,[1]梦灵属性!$K$56:$K$104,1)</f>
        <v>#N/A</v>
      </c>
      <c r="AG199" s="351"/>
      <c r="AH199" s="266">
        <v>55</v>
      </c>
      <c r="AI199" s="350">
        <f>MATCH(_xlfn.XLOOKUP(K199,[1]梦灵本体产出!$D$30:$D$38,[1]梦灵本体产出!$K$30:$K$38)*Q199*10/[1]梦灵属性!$K$26,[1]梦灵属性!$K$56:$K$104,1)</f>
        <v>31</v>
      </c>
      <c r="AJ199" s="350">
        <f>MATCH(_xlfn.XLOOKUP(L199,[1]梦灵本体产出!$D$30:$D$38,[1]梦灵本体产出!$K$30:$K$38)*R199*10/[1]梦灵属性!$K$26,[1]梦灵属性!$K$56:$K$104,1)</f>
        <v>34</v>
      </c>
      <c r="AK199" s="350" t="e">
        <f>MATCH(_xlfn.XLOOKUP(M199,[1]梦灵本体产出!$D$30:$D$38,[1]梦灵本体产出!$K$30:$K$38)*S199*10/[1]梦灵属性!$K$26,[1]梦灵属性!$K$56:$K$104,1)</f>
        <v>#N/A</v>
      </c>
      <c r="AL199" s="350" t="e">
        <f>MATCH(_xlfn.XLOOKUP(N199,[1]梦灵本体产出!$D$30:$D$38,[1]梦灵本体产出!$K$30:$K$38)*T199*10/[1]梦灵属性!$K$26,[1]梦灵属性!$K$56:$K$104,1)</f>
        <v>#N/A</v>
      </c>
      <c r="AM199" s="351"/>
      <c r="AN199" s="266">
        <v>55</v>
      </c>
      <c r="AO199" s="350">
        <f>MATCH(_xlfn.XLOOKUP(K199,[1]梦灵本体产出!$D$30:$D$38,[1]梦灵本体产出!$L$30:$L$38)*Q199*10/[1]梦灵属性!$K$26,[1]梦灵属性!$K$56:$K$104,1)</f>
        <v>25</v>
      </c>
      <c r="AP199" s="350">
        <f>MATCH(_xlfn.XLOOKUP(L199,[1]梦灵本体产出!$D$30:$D$38,[1]梦灵本体产出!$L$30:$L$38)*R199*10/[1]梦灵属性!$K$26,[1]梦灵属性!$K$56:$K$104,1)</f>
        <v>27</v>
      </c>
      <c r="AQ199" s="350" t="e">
        <f>MATCH(_xlfn.XLOOKUP(M199,[1]梦灵本体产出!$D$30:$D$38,[1]梦灵本体产出!$L$30:$L$38)*S199*10/[1]梦灵属性!$K$26,[1]梦灵属性!$K$56:$K$104,1)</f>
        <v>#N/A</v>
      </c>
      <c r="AR199" s="350" t="e">
        <f>MATCH(_xlfn.XLOOKUP(N199,[1]梦灵本体产出!$D$30:$D$38,[1]梦灵本体产出!$L$30:$L$38)*T199*10/[1]梦灵属性!$K$26,[1]梦灵属性!$K$56:$K$104,1)</f>
        <v>#N/A</v>
      </c>
      <c r="AS199" s="351"/>
      <c r="AT199" s="266">
        <v>55</v>
      </c>
      <c r="AU199" s="350">
        <f>IFERROR(MATCH(_xlfn.XLOOKUP(K199,[1]梦灵本体产出!$D$30:$D$38,[1]梦灵本体产出!$M$30:$M$38)*Q199*10/[1]梦灵属性!$K$26,[1]梦灵属性!$K$56:$K$104,1),0)</f>
        <v>14</v>
      </c>
      <c r="AV199" s="350">
        <f>IFERROR(MATCH(_xlfn.XLOOKUP(L199,[1]梦灵本体产出!$D$30:$D$38,[1]梦灵本体产出!$M$30:$M$38)*R199*10/[1]梦灵属性!$K$26,[1]梦灵属性!$K$56:$K$104,1),0)</f>
        <v>15</v>
      </c>
      <c r="AW199" s="350">
        <f>IFERROR(MATCH(_xlfn.XLOOKUP(M199,[1]梦灵本体产出!$D$30:$D$38,[1]梦灵本体产出!$M$30:$M$38)*S199*10/[1]梦灵属性!$K$26,[1]梦灵属性!$K$56:$K$104,1),0)</f>
        <v>0</v>
      </c>
      <c r="AX199" s="350">
        <f>IFERROR(MATCH(_xlfn.XLOOKUP(N199,[1]梦灵本体产出!$D$30:$D$38,[1]梦灵本体产出!$M$30:$M$38)*T199*10/[1]梦灵属性!$K$26,[1]梦灵属性!$K$56:$K$104,1),0)</f>
        <v>0</v>
      </c>
      <c r="AZ199" s="80">
        <f t="shared" si="25"/>
        <v>816.6</v>
      </c>
    </row>
    <row r="200" outlineLevel="1" spans="2:52">
      <c r="C200" s="80" t="s">
        <v>451</v>
      </c>
      <c r="D200" s="19">
        <v>56</v>
      </c>
      <c r="E200" s="19" t="s">
        <v>447</v>
      </c>
      <c r="F200" s="19" t="s">
        <v>448</v>
      </c>
      <c r="G200" s="19" t="s">
        <v>448</v>
      </c>
      <c r="H200" s="19" t="s">
        <v>448</v>
      </c>
      <c r="J200" s="19">
        <v>56</v>
      </c>
      <c r="K200" s="19">
        <v>5</v>
      </c>
      <c r="L200" s="19">
        <v>5</v>
      </c>
      <c r="M200" s="19">
        <v>6</v>
      </c>
      <c r="N200" s="19">
        <v>7</v>
      </c>
      <c r="P200" s="19">
        <v>56</v>
      </c>
      <c r="Q200" s="266">
        <v>7056.19999999997</v>
      </c>
      <c r="R200" s="266">
        <v>8753.86666666666</v>
      </c>
      <c r="S200" s="266">
        <v>13623.2</v>
      </c>
      <c r="T200" s="266">
        <v>17746</v>
      </c>
      <c r="V200" s="19">
        <v>56</v>
      </c>
      <c r="W200" s="350">
        <f t="shared" si="30"/>
        <v>23100</v>
      </c>
      <c r="X200" s="350">
        <f t="shared" si="31"/>
        <v>30030</v>
      </c>
      <c r="Y200" s="350">
        <f t="shared" si="32"/>
        <v>48048</v>
      </c>
      <c r="Z200" s="350">
        <f t="shared" si="33"/>
        <v>63525</v>
      </c>
      <c r="AB200" s="19">
        <v>56</v>
      </c>
      <c r="AC200" s="350">
        <f>MATCH(_xlfn.XLOOKUP(K200,[1]梦灵本体产出!$D$30:$D$38,[1]梦灵本体产出!$J$30:$J$38)*Q200*10/[1]梦灵属性!$K$26,[1]梦灵属性!$K$56:$K$104,1)</f>
        <v>33</v>
      </c>
      <c r="AD200" s="350">
        <f>MATCH(_xlfn.XLOOKUP(L200,[1]梦灵本体产出!$D$30:$D$38,[1]梦灵本体产出!$J$30:$J$38)*R200*10/[1]梦灵属性!$K$26,[1]梦灵属性!$K$56:$K$104,1)</f>
        <v>35</v>
      </c>
      <c r="AE200" s="350" t="e">
        <f>MATCH(_xlfn.XLOOKUP(M200,[1]梦灵本体产出!$D$30:$D$38,[1]梦灵本体产出!$J$30:$J$38)*S200*10/[1]梦灵属性!$K$26,[1]梦灵属性!$K$56:$K$104,1)</f>
        <v>#N/A</v>
      </c>
      <c r="AF200" s="350" t="e">
        <f>MATCH(_xlfn.XLOOKUP(N200,[1]梦灵本体产出!$D$30:$D$38,[1]梦灵本体产出!$J$30:$J$38)*T200*10/[1]梦灵属性!$K$26,[1]梦灵属性!$K$56:$K$104,1)</f>
        <v>#N/A</v>
      </c>
      <c r="AG200" s="351"/>
      <c r="AH200" s="266">
        <v>56</v>
      </c>
      <c r="AI200" s="350">
        <f>MATCH(_xlfn.XLOOKUP(K200,[1]梦灵本体产出!$D$30:$D$38,[1]梦灵本体产出!$K$30:$K$38)*Q200*10/[1]梦灵属性!$K$26,[1]梦灵属性!$K$56:$K$104,1)</f>
        <v>32</v>
      </c>
      <c r="AJ200" s="350">
        <f>MATCH(_xlfn.XLOOKUP(L200,[1]梦灵本体产出!$D$30:$D$38,[1]梦灵本体产出!$K$30:$K$38)*R200*10/[1]梦灵属性!$K$26,[1]梦灵属性!$K$56:$K$104,1)</f>
        <v>34</v>
      </c>
      <c r="AK200" s="350" t="e">
        <f>MATCH(_xlfn.XLOOKUP(M200,[1]梦灵本体产出!$D$30:$D$38,[1]梦灵本体产出!$K$30:$K$38)*S200*10/[1]梦灵属性!$K$26,[1]梦灵属性!$K$56:$K$104,1)</f>
        <v>#N/A</v>
      </c>
      <c r="AL200" s="350" t="e">
        <f>MATCH(_xlfn.XLOOKUP(N200,[1]梦灵本体产出!$D$30:$D$38,[1]梦灵本体产出!$K$30:$K$38)*T200*10/[1]梦灵属性!$K$26,[1]梦灵属性!$K$56:$K$104,1)</f>
        <v>#N/A</v>
      </c>
      <c r="AM200" s="351"/>
      <c r="AN200" s="266">
        <v>56</v>
      </c>
      <c r="AO200" s="350">
        <f>MATCH(_xlfn.XLOOKUP(K200,[1]梦灵本体产出!$D$30:$D$38,[1]梦灵本体产出!$L$30:$L$38)*Q200*10/[1]梦灵属性!$K$26,[1]梦灵属性!$K$56:$K$104,1)</f>
        <v>25</v>
      </c>
      <c r="AP200" s="350">
        <f>MATCH(_xlfn.XLOOKUP(L200,[1]梦灵本体产出!$D$30:$D$38,[1]梦灵本体产出!$L$30:$L$38)*R200*10/[1]梦灵属性!$K$26,[1]梦灵属性!$K$56:$K$104,1)</f>
        <v>27</v>
      </c>
      <c r="AQ200" s="350" t="e">
        <f>MATCH(_xlfn.XLOOKUP(M200,[1]梦灵本体产出!$D$30:$D$38,[1]梦灵本体产出!$L$30:$L$38)*S200*10/[1]梦灵属性!$K$26,[1]梦灵属性!$K$56:$K$104,1)</f>
        <v>#N/A</v>
      </c>
      <c r="AR200" s="350" t="e">
        <f>MATCH(_xlfn.XLOOKUP(N200,[1]梦灵本体产出!$D$30:$D$38,[1]梦灵本体产出!$L$30:$L$38)*T200*10/[1]梦灵属性!$K$26,[1]梦灵属性!$K$56:$K$104,1)</f>
        <v>#N/A</v>
      </c>
      <c r="AS200" s="351"/>
      <c r="AT200" s="266">
        <v>56</v>
      </c>
      <c r="AU200" s="350">
        <f>IFERROR(MATCH(_xlfn.XLOOKUP(K200,[1]梦灵本体产出!$D$30:$D$38,[1]梦灵本体产出!$M$30:$M$38)*Q200*10/[1]梦灵属性!$K$26,[1]梦灵属性!$K$56:$K$104,1),0)</f>
        <v>14</v>
      </c>
      <c r="AV200" s="350">
        <f>IFERROR(MATCH(_xlfn.XLOOKUP(L200,[1]梦灵本体产出!$D$30:$D$38,[1]梦灵本体产出!$M$30:$M$38)*R200*10/[1]梦灵属性!$K$26,[1]梦灵属性!$K$56:$K$104,1),0)</f>
        <v>16</v>
      </c>
      <c r="AW200" s="350">
        <f>IFERROR(MATCH(_xlfn.XLOOKUP(M200,[1]梦灵本体产出!$D$30:$D$38,[1]梦灵本体产出!$M$30:$M$38)*S200*10/[1]梦灵属性!$K$26,[1]梦灵属性!$K$56:$K$104,1),0)</f>
        <v>0</v>
      </c>
      <c r="AX200" s="350">
        <f>IFERROR(MATCH(_xlfn.XLOOKUP(N200,[1]梦灵本体产出!$D$30:$D$38,[1]梦灵本体产出!$M$30:$M$38)*T200*10/[1]梦灵属性!$K$26,[1]梦灵属性!$K$56:$K$104,1),0)</f>
        <v>0</v>
      </c>
      <c r="AZ200" s="80">
        <f t="shared" si="25"/>
        <v>823.8</v>
      </c>
    </row>
    <row r="201" outlineLevel="1" spans="2:52">
      <c r="C201" s="80" t="s">
        <v>451</v>
      </c>
      <c r="D201" s="19">
        <v>57</v>
      </c>
      <c r="E201" s="19" t="s">
        <v>447</v>
      </c>
      <c r="F201" s="19" t="s">
        <v>448</v>
      </c>
      <c r="G201" s="19" t="s">
        <v>448</v>
      </c>
      <c r="H201" s="19" t="s">
        <v>448</v>
      </c>
      <c r="J201" s="19">
        <v>57</v>
      </c>
      <c r="K201" s="19">
        <v>5</v>
      </c>
      <c r="L201" s="19">
        <v>5</v>
      </c>
      <c r="M201" s="19">
        <v>6</v>
      </c>
      <c r="N201" s="19">
        <v>7</v>
      </c>
      <c r="P201" s="19">
        <v>57</v>
      </c>
      <c r="Q201" s="266">
        <v>7169.9714285714</v>
      </c>
      <c r="R201" s="266">
        <v>8896.97142857142</v>
      </c>
      <c r="S201" s="266">
        <v>13851.6857142857</v>
      </c>
      <c r="T201" s="266">
        <v>18048.1071428571</v>
      </c>
      <c r="V201" s="19">
        <v>57</v>
      </c>
      <c r="W201" s="350">
        <f t="shared" si="30"/>
        <v>23100</v>
      </c>
      <c r="X201" s="350">
        <f t="shared" si="31"/>
        <v>30030</v>
      </c>
      <c r="Y201" s="350">
        <f t="shared" si="32"/>
        <v>48048</v>
      </c>
      <c r="Z201" s="350">
        <f t="shared" si="33"/>
        <v>63525</v>
      </c>
      <c r="AB201" s="19">
        <v>57</v>
      </c>
      <c r="AC201" s="350">
        <f>MATCH(_xlfn.XLOOKUP(K201,[1]梦灵本体产出!$D$30:$D$38,[1]梦灵本体产出!$J$30:$J$38)*Q201*10/[1]梦灵属性!$K$26,[1]梦灵属性!$K$56:$K$104,1)</f>
        <v>34</v>
      </c>
      <c r="AD201" s="350">
        <f>MATCH(_xlfn.XLOOKUP(L201,[1]梦灵本体产出!$D$30:$D$38,[1]梦灵本体产出!$J$30:$J$38)*R201*10/[1]梦灵属性!$K$26,[1]梦灵属性!$K$56:$K$104,1)</f>
        <v>35</v>
      </c>
      <c r="AE201" s="350" t="e">
        <f>MATCH(_xlfn.XLOOKUP(M201,[1]梦灵本体产出!$D$30:$D$38,[1]梦灵本体产出!$J$30:$J$38)*S201*10/[1]梦灵属性!$K$26,[1]梦灵属性!$K$56:$K$104,1)</f>
        <v>#N/A</v>
      </c>
      <c r="AF201" s="350" t="e">
        <f>MATCH(_xlfn.XLOOKUP(N201,[1]梦灵本体产出!$D$30:$D$38,[1]梦灵本体产出!$J$30:$J$38)*T201*10/[1]梦灵属性!$K$26,[1]梦灵属性!$K$56:$K$104,1)</f>
        <v>#N/A</v>
      </c>
      <c r="AG201" s="351"/>
      <c r="AH201" s="266">
        <v>57</v>
      </c>
      <c r="AI201" s="350">
        <f>MATCH(_xlfn.XLOOKUP(K201,[1]梦灵本体产出!$D$30:$D$38,[1]梦灵本体产出!$K$30:$K$38)*Q201*10/[1]梦灵属性!$K$26,[1]梦灵属性!$K$56:$K$104,1)</f>
        <v>32</v>
      </c>
      <c r="AJ201" s="350">
        <f>MATCH(_xlfn.XLOOKUP(L201,[1]梦灵本体产出!$D$30:$D$38,[1]梦灵本体产出!$K$30:$K$38)*R201*10/[1]梦灵属性!$K$26,[1]梦灵属性!$K$56:$K$104,1)</f>
        <v>34</v>
      </c>
      <c r="AK201" s="350" t="e">
        <f>MATCH(_xlfn.XLOOKUP(M201,[1]梦灵本体产出!$D$30:$D$38,[1]梦灵本体产出!$K$30:$K$38)*S201*10/[1]梦灵属性!$K$26,[1]梦灵属性!$K$56:$K$104,1)</f>
        <v>#N/A</v>
      </c>
      <c r="AL201" s="350" t="e">
        <f>MATCH(_xlfn.XLOOKUP(N201,[1]梦灵本体产出!$D$30:$D$38,[1]梦灵本体产出!$K$30:$K$38)*T201*10/[1]梦灵属性!$K$26,[1]梦灵属性!$K$56:$K$104,1)</f>
        <v>#N/A</v>
      </c>
      <c r="AM201" s="351"/>
      <c r="AN201" s="266">
        <v>57</v>
      </c>
      <c r="AO201" s="350">
        <f>MATCH(_xlfn.XLOOKUP(K201,[1]梦灵本体产出!$D$30:$D$38,[1]梦灵本体产出!$L$30:$L$38)*Q201*10/[1]梦灵属性!$K$26,[1]梦灵属性!$K$56:$K$104,1)</f>
        <v>25</v>
      </c>
      <c r="AP201" s="350">
        <f>MATCH(_xlfn.XLOOKUP(L201,[1]梦灵本体产出!$D$30:$D$38,[1]梦灵本体产出!$L$30:$L$38)*R201*10/[1]梦灵属性!$K$26,[1]梦灵属性!$K$56:$K$104,1)</f>
        <v>27</v>
      </c>
      <c r="AQ201" s="350" t="e">
        <f>MATCH(_xlfn.XLOOKUP(M201,[1]梦灵本体产出!$D$30:$D$38,[1]梦灵本体产出!$L$30:$L$38)*S201*10/[1]梦灵属性!$K$26,[1]梦灵属性!$K$56:$K$104,1)</f>
        <v>#N/A</v>
      </c>
      <c r="AR201" s="350" t="e">
        <f>MATCH(_xlfn.XLOOKUP(N201,[1]梦灵本体产出!$D$30:$D$38,[1]梦灵本体产出!$L$30:$L$38)*T201*10/[1]梦灵属性!$K$26,[1]梦灵属性!$K$56:$K$104,1)</f>
        <v>#N/A</v>
      </c>
      <c r="AS201" s="351"/>
      <c r="AT201" s="266">
        <v>57</v>
      </c>
      <c r="AU201" s="350">
        <f>IFERROR(MATCH(_xlfn.XLOOKUP(K201,[1]梦灵本体产出!$D$30:$D$38,[1]梦灵本体产出!$M$30:$M$38)*Q201*10/[1]梦灵属性!$K$26,[1]梦灵属性!$K$56:$K$104,1),0)</f>
        <v>14</v>
      </c>
      <c r="AV201" s="350">
        <f>IFERROR(MATCH(_xlfn.XLOOKUP(L201,[1]梦灵本体产出!$D$30:$D$38,[1]梦灵本体产出!$M$30:$M$38)*R201*10/[1]梦灵属性!$K$26,[1]梦灵属性!$K$56:$K$104,1),0)</f>
        <v>16</v>
      </c>
      <c r="AW201" s="350">
        <f>IFERROR(MATCH(_xlfn.XLOOKUP(M201,[1]梦灵本体产出!$D$30:$D$38,[1]梦灵本体产出!$M$30:$M$38)*S201*10/[1]梦灵属性!$K$26,[1]梦灵属性!$K$56:$K$104,1),0)</f>
        <v>0</v>
      </c>
      <c r="AX201" s="350">
        <f>IFERROR(MATCH(_xlfn.XLOOKUP(N201,[1]梦灵本体产出!$D$30:$D$38,[1]梦灵本体产出!$M$30:$M$38)*T201*10/[1]梦灵属性!$K$26,[1]梦灵属性!$K$56:$K$104,1),0)</f>
        <v>0</v>
      </c>
      <c r="AZ201" s="80">
        <f t="shared" si="25"/>
        <v>826.8</v>
      </c>
    </row>
    <row r="202" outlineLevel="1" spans="2:52">
      <c r="C202" s="80" t="s">
        <v>451</v>
      </c>
      <c r="D202" s="19">
        <v>58</v>
      </c>
      <c r="E202" s="19" t="s">
        <v>447</v>
      </c>
      <c r="F202" s="19" t="s">
        <v>448</v>
      </c>
      <c r="G202" s="19" t="s">
        <v>448</v>
      </c>
      <c r="H202" s="19" t="s">
        <v>448</v>
      </c>
      <c r="J202" s="19">
        <v>58</v>
      </c>
      <c r="K202" s="19">
        <v>5</v>
      </c>
      <c r="L202" s="19">
        <v>5</v>
      </c>
      <c r="M202" s="19">
        <v>6</v>
      </c>
      <c r="N202" s="19">
        <v>7</v>
      </c>
      <c r="P202" s="19">
        <v>58</v>
      </c>
      <c r="Q202" s="266">
        <v>7283.74285714283</v>
      </c>
      <c r="R202" s="266">
        <v>9040.07619047618</v>
      </c>
      <c r="S202" s="266">
        <v>14080.1714285714</v>
      </c>
      <c r="T202" s="266">
        <v>18350.2142857143</v>
      </c>
      <c r="V202" s="19">
        <v>58</v>
      </c>
      <c r="W202" s="350">
        <f t="shared" si="30"/>
        <v>23100</v>
      </c>
      <c r="X202" s="350">
        <f t="shared" si="31"/>
        <v>30030</v>
      </c>
      <c r="Y202" s="350">
        <f t="shared" si="32"/>
        <v>48048</v>
      </c>
      <c r="Z202" s="350">
        <f t="shared" si="33"/>
        <v>63525</v>
      </c>
      <c r="AB202" s="19">
        <v>58</v>
      </c>
      <c r="AC202" s="350">
        <f>MATCH(_xlfn.XLOOKUP(K202,[1]梦灵本体产出!$D$30:$D$38,[1]梦灵本体产出!$J$30:$J$38)*Q202*10/[1]梦灵属性!$K$26,[1]梦灵属性!$K$56:$K$104,1)</f>
        <v>34</v>
      </c>
      <c r="AD202" s="350">
        <f>MATCH(_xlfn.XLOOKUP(L202,[1]梦灵本体产出!$D$30:$D$38,[1]梦灵本体产出!$J$30:$J$38)*R202*10/[1]梦灵属性!$K$26,[1]梦灵属性!$K$56:$K$104,1)</f>
        <v>35</v>
      </c>
      <c r="AE202" s="350" t="e">
        <f>MATCH(_xlfn.XLOOKUP(M202,[1]梦灵本体产出!$D$30:$D$38,[1]梦灵本体产出!$J$30:$J$38)*S202*10/[1]梦灵属性!$K$26,[1]梦灵属性!$K$56:$K$104,1)</f>
        <v>#N/A</v>
      </c>
      <c r="AF202" s="350" t="e">
        <f>MATCH(_xlfn.XLOOKUP(N202,[1]梦灵本体产出!$D$30:$D$38,[1]梦灵本体产出!$J$30:$J$38)*T202*10/[1]梦灵属性!$K$26,[1]梦灵属性!$K$56:$K$104,1)</f>
        <v>#N/A</v>
      </c>
      <c r="AG202" s="351"/>
      <c r="AH202" s="266">
        <v>58</v>
      </c>
      <c r="AI202" s="350">
        <f>MATCH(_xlfn.XLOOKUP(K202,[1]梦灵本体产出!$D$30:$D$38,[1]梦灵本体产出!$K$30:$K$38)*Q202*10/[1]梦灵属性!$K$26,[1]梦灵属性!$K$56:$K$104,1)</f>
        <v>32</v>
      </c>
      <c r="AJ202" s="350">
        <f>MATCH(_xlfn.XLOOKUP(L202,[1]梦灵本体产出!$D$30:$D$38,[1]梦灵本体产出!$K$30:$K$38)*R202*10/[1]梦灵属性!$K$26,[1]梦灵属性!$K$56:$K$104,1)</f>
        <v>34</v>
      </c>
      <c r="AK202" s="350" t="e">
        <f>MATCH(_xlfn.XLOOKUP(M202,[1]梦灵本体产出!$D$30:$D$38,[1]梦灵本体产出!$K$30:$K$38)*S202*10/[1]梦灵属性!$K$26,[1]梦灵属性!$K$56:$K$104,1)</f>
        <v>#N/A</v>
      </c>
      <c r="AL202" s="350" t="e">
        <f>MATCH(_xlfn.XLOOKUP(N202,[1]梦灵本体产出!$D$30:$D$38,[1]梦灵本体产出!$K$30:$K$38)*T202*10/[1]梦灵属性!$K$26,[1]梦灵属性!$K$56:$K$104,1)</f>
        <v>#N/A</v>
      </c>
      <c r="AM202" s="351"/>
      <c r="AN202" s="266">
        <v>58</v>
      </c>
      <c r="AO202" s="350">
        <f>MATCH(_xlfn.XLOOKUP(K202,[1]梦灵本体产出!$D$30:$D$38,[1]梦灵本体产出!$L$30:$L$38)*Q202*10/[1]梦灵属性!$K$26,[1]梦灵属性!$K$56:$K$104,1)</f>
        <v>25</v>
      </c>
      <c r="AP202" s="350">
        <f>MATCH(_xlfn.XLOOKUP(L202,[1]梦灵本体产出!$D$30:$D$38,[1]梦灵本体产出!$L$30:$L$38)*R202*10/[1]梦灵属性!$K$26,[1]梦灵属性!$K$56:$K$104,1)</f>
        <v>27</v>
      </c>
      <c r="AQ202" s="350" t="e">
        <f>MATCH(_xlfn.XLOOKUP(M202,[1]梦灵本体产出!$D$30:$D$38,[1]梦灵本体产出!$L$30:$L$38)*S202*10/[1]梦灵属性!$K$26,[1]梦灵属性!$K$56:$K$104,1)</f>
        <v>#N/A</v>
      </c>
      <c r="AR202" s="350" t="e">
        <f>MATCH(_xlfn.XLOOKUP(N202,[1]梦灵本体产出!$D$30:$D$38,[1]梦灵本体产出!$L$30:$L$38)*T202*10/[1]梦灵属性!$K$26,[1]梦灵属性!$K$56:$K$104,1)</f>
        <v>#N/A</v>
      </c>
      <c r="AS202" s="351"/>
      <c r="AT202" s="266">
        <v>58</v>
      </c>
      <c r="AU202" s="350">
        <f>IFERROR(MATCH(_xlfn.XLOOKUP(K202,[1]梦灵本体产出!$D$30:$D$38,[1]梦灵本体产出!$M$30:$M$38)*Q202*10/[1]梦灵属性!$K$26,[1]梦灵属性!$K$56:$K$104,1),0)</f>
        <v>14</v>
      </c>
      <c r="AV202" s="350">
        <f>IFERROR(MATCH(_xlfn.XLOOKUP(L202,[1]梦灵本体产出!$D$30:$D$38,[1]梦灵本体产出!$M$30:$M$38)*R202*10/[1]梦灵属性!$K$26,[1]梦灵属性!$K$56:$K$104,1),0)</f>
        <v>16</v>
      </c>
      <c r="AW202" s="350">
        <f>IFERROR(MATCH(_xlfn.XLOOKUP(M202,[1]梦灵本体产出!$D$30:$D$38,[1]梦灵本体产出!$M$30:$M$38)*S202*10/[1]梦灵属性!$K$26,[1]梦灵属性!$K$56:$K$104,1),0)</f>
        <v>0</v>
      </c>
      <c r="AX202" s="350">
        <f>IFERROR(MATCH(_xlfn.XLOOKUP(N202,[1]梦灵本体产出!$D$30:$D$38,[1]梦灵本体产出!$M$30:$M$38)*T202*10/[1]梦灵属性!$K$26,[1]梦灵属性!$K$56:$K$104,1),0)</f>
        <v>0</v>
      </c>
      <c r="AZ202" s="80">
        <f t="shared" si="25"/>
        <v>826.8</v>
      </c>
    </row>
    <row r="203" outlineLevel="1" spans="2:52">
      <c r="C203" s="80" t="s">
        <v>451</v>
      </c>
      <c r="D203" s="19">
        <v>59</v>
      </c>
      <c r="E203" s="19" t="s">
        <v>448</v>
      </c>
      <c r="F203" s="19" t="s">
        <v>448</v>
      </c>
      <c r="G203" s="19" t="s">
        <v>448</v>
      </c>
      <c r="H203" s="19" t="s">
        <v>448</v>
      </c>
      <c r="J203" s="19">
        <v>59</v>
      </c>
      <c r="K203" s="19">
        <v>5</v>
      </c>
      <c r="L203" s="19">
        <v>5</v>
      </c>
      <c r="M203" s="19">
        <v>6</v>
      </c>
      <c r="N203" s="19">
        <v>7</v>
      </c>
      <c r="P203" s="19">
        <v>59</v>
      </c>
      <c r="Q203" s="266">
        <v>7397.51428571426</v>
      </c>
      <c r="R203" s="266">
        <v>9183.18095238095</v>
      </c>
      <c r="S203" s="266">
        <v>14308.6571428572</v>
      </c>
      <c r="T203" s="266">
        <v>18652.3214285714</v>
      </c>
      <c r="V203" s="19">
        <v>59</v>
      </c>
      <c r="W203" s="350">
        <f t="shared" si="30"/>
        <v>23100</v>
      </c>
      <c r="X203" s="350">
        <f t="shared" si="31"/>
        <v>30030</v>
      </c>
      <c r="Y203" s="350">
        <f t="shared" si="32"/>
        <v>48048</v>
      </c>
      <c r="Z203" s="350">
        <f t="shared" si="33"/>
        <v>63525</v>
      </c>
      <c r="AB203" s="19">
        <v>59</v>
      </c>
      <c r="AC203" s="350">
        <f>MATCH(_xlfn.XLOOKUP(K203,[1]梦灵本体产出!$D$30:$D$38,[1]梦灵本体产出!$J$30:$J$38)*Q203*10/[1]梦灵属性!$K$26,[1]梦灵属性!$K$56:$K$104,1)</f>
        <v>34</v>
      </c>
      <c r="AD203" s="350">
        <f>MATCH(_xlfn.XLOOKUP(L203,[1]梦灵本体产出!$D$30:$D$38,[1]梦灵本体产出!$J$30:$J$38)*R203*10/[1]梦灵属性!$K$26,[1]梦灵属性!$K$56:$K$104,1)</f>
        <v>36</v>
      </c>
      <c r="AE203" s="350" t="e">
        <f>MATCH(_xlfn.XLOOKUP(M203,[1]梦灵本体产出!$D$30:$D$38,[1]梦灵本体产出!$J$30:$J$38)*S203*10/[1]梦灵属性!$K$26,[1]梦灵属性!$K$56:$K$104,1)</f>
        <v>#N/A</v>
      </c>
      <c r="AF203" s="350" t="e">
        <f>MATCH(_xlfn.XLOOKUP(N203,[1]梦灵本体产出!$D$30:$D$38,[1]梦灵本体产出!$J$30:$J$38)*T203*10/[1]梦灵属性!$K$26,[1]梦灵属性!$K$56:$K$104,1)</f>
        <v>#N/A</v>
      </c>
      <c r="AG203" s="351"/>
      <c r="AH203" s="266">
        <v>59</v>
      </c>
      <c r="AI203" s="350">
        <f>MATCH(_xlfn.XLOOKUP(K203,[1]梦灵本体产出!$D$30:$D$38,[1]梦灵本体产出!$K$30:$K$38)*Q203*10/[1]梦灵属性!$K$26,[1]梦灵属性!$K$56:$K$104,1)</f>
        <v>32</v>
      </c>
      <c r="AJ203" s="350">
        <f>MATCH(_xlfn.XLOOKUP(L203,[1]梦灵本体产出!$D$30:$D$38,[1]梦灵本体产出!$K$30:$K$38)*R203*10/[1]梦灵属性!$K$26,[1]梦灵属性!$K$56:$K$104,1)</f>
        <v>34</v>
      </c>
      <c r="AK203" s="350" t="e">
        <f>MATCH(_xlfn.XLOOKUP(M203,[1]梦灵本体产出!$D$30:$D$38,[1]梦灵本体产出!$K$30:$K$38)*S203*10/[1]梦灵属性!$K$26,[1]梦灵属性!$K$56:$K$104,1)</f>
        <v>#N/A</v>
      </c>
      <c r="AL203" s="350" t="e">
        <f>MATCH(_xlfn.XLOOKUP(N203,[1]梦灵本体产出!$D$30:$D$38,[1]梦灵本体产出!$K$30:$K$38)*T203*10/[1]梦灵属性!$K$26,[1]梦灵属性!$K$56:$K$104,1)</f>
        <v>#N/A</v>
      </c>
      <c r="AM203" s="351"/>
      <c r="AN203" s="266">
        <v>59</v>
      </c>
      <c r="AO203" s="350">
        <f>MATCH(_xlfn.XLOOKUP(K203,[1]梦灵本体产出!$D$30:$D$38,[1]梦灵本体产出!$L$30:$L$38)*Q203*10/[1]梦灵属性!$K$26,[1]梦灵属性!$K$56:$K$104,1)</f>
        <v>25</v>
      </c>
      <c r="AP203" s="350">
        <f>MATCH(_xlfn.XLOOKUP(L203,[1]梦灵本体产出!$D$30:$D$38,[1]梦灵本体产出!$L$30:$L$38)*R203*10/[1]梦灵属性!$K$26,[1]梦灵属性!$K$56:$K$104,1)</f>
        <v>27</v>
      </c>
      <c r="AQ203" s="350" t="e">
        <f>MATCH(_xlfn.XLOOKUP(M203,[1]梦灵本体产出!$D$30:$D$38,[1]梦灵本体产出!$L$30:$L$38)*S203*10/[1]梦灵属性!$K$26,[1]梦灵属性!$K$56:$K$104,1)</f>
        <v>#N/A</v>
      </c>
      <c r="AR203" s="350" t="e">
        <f>MATCH(_xlfn.XLOOKUP(N203,[1]梦灵本体产出!$D$30:$D$38,[1]梦灵本体产出!$L$30:$L$38)*T203*10/[1]梦灵属性!$K$26,[1]梦灵属性!$K$56:$K$104,1)</f>
        <v>#N/A</v>
      </c>
      <c r="AS203" s="351"/>
      <c r="AT203" s="266">
        <v>59</v>
      </c>
      <c r="AU203" s="350">
        <f>IFERROR(MATCH(_xlfn.XLOOKUP(K203,[1]梦灵本体产出!$D$30:$D$38,[1]梦灵本体产出!$M$30:$M$38)*Q203*10/[1]梦灵属性!$K$26,[1]梦灵属性!$K$56:$K$104,1),0)</f>
        <v>14</v>
      </c>
      <c r="AV203" s="350">
        <f>IFERROR(MATCH(_xlfn.XLOOKUP(L203,[1]梦灵本体产出!$D$30:$D$38,[1]梦灵本体产出!$M$30:$M$38)*R203*10/[1]梦灵属性!$K$26,[1]梦灵属性!$K$56:$K$104,1),0)</f>
        <v>16</v>
      </c>
      <c r="AW203" s="350">
        <f>IFERROR(MATCH(_xlfn.XLOOKUP(M203,[1]梦灵本体产出!$D$30:$D$38,[1]梦灵本体产出!$M$30:$M$38)*S203*10/[1]梦灵属性!$K$26,[1]梦灵属性!$K$56:$K$104,1),0)</f>
        <v>0</v>
      </c>
      <c r="AX203" s="350">
        <f>IFERROR(MATCH(_xlfn.XLOOKUP(N203,[1]梦灵本体产出!$D$30:$D$38,[1]梦灵本体产出!$M$30:$M$38)*T203*10/[1]梦灵属性!$K$26,[1]梦灵属性!$K$56:$K$104,1),0)</f>
        <v>0</v>
      </c>
      <c r="AZ203" s="80">
        <f t="shared" si="25"/>
        <v>826.8</v>
      </c>
    </row>
    <row r="204" outlineLevel="1" spans="2:52">
      <c r="C204" s="80" t="s">
        <v>451</v>
      </c>
      <c r="D204" s="19">
        <v>60</v>
      </c>
      <c r="E204" s="19" t="s">
        <v>448</v>
      </c>
      <c r="F204" s="19" t="s">
        <v>448</v>
      </c>
      <c r="G204" s="19" t="s">
        <v>448</v>
      </c>
      <c r="H204" s="19" t="s">
        <v>448</v>
      </c>
      <c r="J204" s="19">
        <v>60</v>
      </c>
      <c r="K204" s="19">
        <v>5</v>
      </c>
      <c r="L204" s="19">
        <v>5</v>
      </c>
      <c r="M204" s="19">
        <v>6</v>
      </c>
      <c r="N204" s="19">
        <v>7</v>
      </c>
      <c r="P204" s="19">
        <v>60</v>
      </c>
      <c r="Q204" s="266">
        <v>7511.28571428569</v>
      </c>
      <c r="R204" s="266">
        <v>9326.28571428571</v>
      </c>
      <c r="S204" s="266">
        <v>14537.1428571429</v>
      </c>
      <c r="T204" s="266">
        <v>18954.4285714286</v>
      </c>
      <c r="V204" s="19">
        <v>60</v>
      </c>
      <c r="W204" s="350">
        <f t="shared" si="30"/>
        <v>23100</v>
      </c>
      <c r="X204" s="350">
        <f t="shared" si="31"/>
        <v>30030</v>
      </c>
      <c r="Y204" s="350">
        <f t="shared" si="32"/>
        <v>48048</v>
      </c>
      <c r="Z204" s="350">
        <f t="shared" si="33"/>
        <v>63525</v>
      </c>
      <c r="AB204" s="19">
        <v>60</v>
      </c>
      <c r="AC204" s="350">
        <f>MATCH(_xlfn.XLOOKUP(K204,[1]梦灵本体产出!$D$30:$D$38,[1]梦灵本体产出!$J$30:$J$38)*Q204*10/[1]梦灵属性!$K$26,[1]梦灵属性!$K$56:$K$104,1)</f>
        <v>34</v>
      </c>
      <c r="AD204" s="350">
        <f>MATCH(_xlfn.XLOOKUP(L204,[1]梦灵本体产出!$D$30:$D$38,[1]梦灵本体产出!$J$30:$J$38)*R204*10/[1]梦灵属性!$K$26,[1]梦灵属性!$K$56:$K$104,1)</f>
        <v>36</v>
      </c>
      <c r="AE204" s="350" t="e">
        <f>MATCH(_xlfn.XLOOKUP(M204,[1]梦灵本体产出!$D$30:$D$38,[1]梦灵本体产出!$J$30:$J$38)*S204*10/[1]梦灵属性!$K$26,[1]梦灵属性!$K$56:$K$104,1)</f>
        <v>#N/A</v>
      </c>
      <c r="AF204" s="350" t="e">
        <f>MATCH(_xlfn.XLOOKUP(N204,[1]梦灵本体产出!$D$30:$D$38,[1]梦灵本体产出!$J$30:$J$38)*T204*10/[1]梦灵属性!$K$26,[1]梦灵属性!$K$56:$K$104,1)</f>
        <v>#N/A</v>
      </c>
      <c r="AG204" s="351"/>
      <c r="AH204" s="266">
        <v>60</v>
      </c>
      <c r="AI204" s="350">
        <f>MATCH(_xlfn.XLOOKUP(K204,[1]梦灵本体产出!$D$30:$D$38,[1]梦灵本体产出!$K$30:$K$38)*Q204*10/[1]梦灵属性!$K$26,[1]梦灵属性!$K$56:$K$104,1)</f>
        <v>32</v>
      </c>
      <c r="AJ204" s="350">
        <f>MATCH(_xlfn.XLOOKUP(L204,[1]梦灵本体产出!$D$30:$D$38,[1]梦灵本体产出!$K$30:$K$38)*R204*10/[1]梦灵属性!$K$26,[1]梦灵属性!$K$56:$K$104,1)</f>
        <v>34</v>
      </c>
      <c r="AK204" s="350" t="e">
        <f>MATCH(_xlfn.XLOOKUP(M204,[1]梦灵本体产出!$D$30:$D$38,[1]梦灵本体产出!$K$30:$K$38)*S204*10/[1]梦灵属性!$K$26,[1]梦灵属性!$K$56:$K$104,1)</f>
        <v>#N/A</v>
      </c>
      <c r="AL204" s="350" t="e">
        <f>MATCH(_xlfn.XLOOKUP(N204,[1]梦灵本体产出!$D$30:$D$38,[1]梦灵本体产出!$K$30:$K$38)*T204*10/[1]梦灵属性!$K$26,[1]梦灵属性!$K$56:$K$104,1)</f>
        <v>#N/A</v>
      </c>
      <c r="AM204" s="351"/>
      <c r="AN204" s="266">
        <v>60</v>
      </c>
      <c r="AO204" s="350">
        <f>MATCH(_xlfn.XLOOKUP(K204,[1]梦灵本体产出!$D$30:$D$38,[1]梦灵本体产出!$L$30:$L$38)*Q204*10/[1]梦灵属性!$K$26,[1]梦灵属性!$K$56:$K$104,1)</f>
        <v>25</v>
      </c>
      <c r="AP204" s="350">
        <f>MATCH(_xlfn.XLOOKUP(L204,[1]梦灵本体产出!$D$30:$D$38,[1]梦灵本体产出!$L$30:$L$38)*R204*10/[1]梦灵属性!$K$26,[1]梦灵属性!$K$56:$K$104,1)</f>
        <v>27</v>
      </c>
      <c r="AQ204" s="350" t="e">
        <f>MATCH(_xlfn.XLOOKUP(M204,[1]梦灵本体产出!$D$30:$D$38,[1]梦灵本体产出!$L$30:$L$38)*S204*10/[1]梦灵属性!$K$26,[1]梦灵属性!$K$56:$K$104,1)</f>
        <v>#N/A</v>
      </c>
      <c r="AR204" s="350" t="e">
        <f>MATCH(_xlfn.XLOOKUP(N204,[1]梦灵本体产出!$D$30:$D$38,[1]梦灵本体产出!$L$30:$L$38)*T204*10/[1]梦灵属性!$K$26,[1]梦灵属性!$K$56:$K$104,1)</f>
        <v>#N/A</v>
      </c>
      <c r="AS204" s="351"/>
      <c r="AT204" s="266">
        <v>60</v>
      </c>
      <c r="AU204" s="350">
        <f>IFERROR(MATCH(_xlfn.XLOOKUP(K204,[1]梦灵本体产出!$D$30:$D$38,[1]梦灵本体产出!$M$30:$M$38)*Q204*10/[1]梦灵属性!$K$26,[1]梦灵属性!$K$56:$K$104,1),0)</f>
        <v>14</v>
      </c>
      <c r="AV204" s="350">
        <f>IFERROR(MATCH(_xlfn.XLOOKUP(L204,[1]梦灵本体产出!$D$30:$D$38,[1]梦灵本体产出!$M$30:$M$38)*R204*10/[1]梦灵属性!$K$26,[1]梦灵属性!$K$56:$K$104,1),0)</f>
        <v>16</v>
      </c>
      <c r="AW204" s="350">
        <f>IFERROR(MATCH(_xlfn.XLOOKUP(M204,[1]梦灵本体产出!$D$30:$D$38,[1]梦灵本体产出!$M$30:$M$38)*S204*10/[1]梦灵属性!$K$26,[1]梦灵属性!$K$56:$K$104,1),0)</f>
        <v>0</v>
      </c>
      <c r="AX204" s="350">
        <f>IFERROR(MATCH(_xlfn.XLOOKUP(N204,[1]梦灵本体产出!$D$30:$D$38,[1]梦灵本体产出!$M$30:$M$38)*T204*10/[1]梦灵属性!$K$26,[1]梦灵属性!$K$56:$K$104,1),0)</f>
        <v>0</v>
      </c>
      <c r="AZ204" s="80">
        <f t="shared" si="25"/>
        <v>826.8</v>
      </c>
    </row>
    <row r="205" outlineLevel="1" spans="2:52">
      <c r="K205" s="19"/>
      <c r="L205" s="19"/>
      <c r="M205" s="19"/>
      <c r="N205" s="19"/>
    </row>
    <row r="206" spans="2:52">
      <c r="K206" s="19"/>
      <c r="L206" s="19"/>
      <c r="M206" s="19"/>
      <c r="N206" s="19"/>
    </row>
    <row r="207" spans="2:52">
      <c r="B207" s="345"/>
      <c r="C207" s="346" t="s">
        <v>452</v>
      </c>
      <c r="K207" s="19"/>
      <c r="L207" s="19"/>
      <c r="M207" s="19"/>
      <c r="N207" s="19"/>
    </row>
    <row r="208" outlineLevel="1" spans="2:52">
      <c r="K208" s="19">
        <v>131</v>
      </c>
      <c r="L208" s="19">
        <v>267</v>
      </c>
      <c r="M208" s="19">
        <v>276</v>
      </c>
      <c r="N208" s="19">
        <v>841</v>
      </c>
      <c r="Q208" s="19"/>
      <c r="R208" s="19"/>
      <c r="S208" s="19"/>
      <c r="T208" s="19"/>
    </row>
    <row r="209" outlineLevel="1" spans="4:24">
      <c r="D209" s="349" t="s">
        <v>305</v>
      </c>
      <c r="E209" s="349" t="s">
        <v>416</v>
      </c>
      <c r="F209" s="349" t="s">
        <v>417</v>
      </c>
      <c r="G209" s="349" t="s">
        <v>262</v>
      </c>
      <c r="H209" s="349" t="s">
        <v>239</v>
      </c>
      <c r="J209" s="349" t="s">
        <v>453</v>
      </c>
      <c r="K209" s="349" t="s">
        <v>416</v>
      </c>
      <c r="L209" s="349" t="s">
        <v>417</v>
      </c>
      <c r="M209" s="349" t="s">
        <v>262</v>
      </c>
      <c r="N209" s="349" t="s">
        <v>239</v>
      </c>
      <c r="P209" s="349" t="s">
        <v>454</v>
      </c>
      <c r="Q209" s="349" t="s">
        <v>416</v>
      </c>
      <c r="R209" s="349" t="s">
        <v>417</v>
      </c>
      <c r="S209" s="349" t="s">
        <v>262</v>
      </c>
      <c r="T209" s="349" t="s">
        <v>239</v>
      </c>
      <c r="V209" s="349" t="s">
        <v>299</v>
      </c>
      <c r="W209" s="349" t="s">
        <v>455</v>
      </c>
      <c r="X209" s="349" t="s">
        <v>234</v>
      </c>
    </row>
    <row r="210" outlineLevel="1" spans="4:24">
      <c r="D210" s="19">
        <v>1</v>
      </c>
      <c r="E210" s="353" t="str">
        <f ca="1">OFFSET($V$209,MATCH(K210/OFFSET(内容释放节奏!$L$51,MATCH(E11,内容释放节奏!$K$52:$K$81,1),0),$W$210:$W$216,1),0)</f>
        <v>绿</v>
      </c>
      <c r="F210" s="19" t="str">
        <f ca="1">OFFSET($V$209,MATCH(L210/OFFSET(内容释放节奏!$L$51,MATCH(F11,内容释放节奏!$K$52:$K$81,1),0),$W$210:$W$216,1),0)</f>
        <v>蓝</v>
      </c>
      <c r="G210" s="19" t="str">
        <f ca="1">OFFSET($V$209,MATCH(M210/OFFSET(内容释放节奏!$L$51,MATCH(G11,内容释放节奏!$K$52:$K$81,1),0),$W$210:$W$216,1),0)</f>
        <v>蓝</v>
      </c>
      <c r="H210" s="19" t="str">
        <f ca="1">OFFSET($V$209,MATCH(N210/OFFSET(内容释放节奏!$L$51,MATCH(H11,内容释放节奏!$K$52:$K$81,1),0),$W$210:$W$216,1),0)</f>
        <v>蓝</v>
      </c>
      <c r="J210" s="19">
        <v>1</v>
      </c>
      <c r="K210" s="19">
        <f>K$208*$J210+L11*2</f>
        <v>155</v>
      </c>
      <c r="L210" s="19">
        <f>L$208*$J210+M11*2</f>
        <v>299</v>
      </c>
      <c r="M210" s="19">
        <f>M$208*$J210+N11*2</f>
        <v>316</v>
      </c>
      <c r="N210" s="19">
        <f>N$208*$J210+O11*2</f>
        <v>891</v>
      </c>
      <c r="P210" s="19">
        <v>1</v>
      </c>
      <c r="Q210" s="19">
        <f ca="1">OFFSET(内容释放节奏!$L$51,MATCH(E11,内容释放节奏!$K$52:$K$81,1),0)</f>
        <v>11</v>
      </c>
      <c r="R210" s="19">
        <f ca="1">OFFSET(内容释放节奏!$L$51,MATCH(F11,内容释放节奏!$K$52:$K$81,1),0)</f>
        <v>11</v>
      </c>
      <c r="S210" s="19">
        <f ca="1">OFFSET(内容释放节奏!$L$51,MATCH(G11,内容释放节奏!$K$52:$K$81,1),0)</f>
        <v>11</v>
      </c>
      <c r="T210" s="19">
        <f ca="1">OFFSET(内容释放节奏!$L$51,MATCH(H11,内容释放节奏!$K$52:$K$81,1),0)</f>
        <v>15</v>
      </c>
      <c r="V210" s="19" t="s">
        <v>389</v>
      </c>
      <c r="W210" s="19">
        <v>1</v>
      </c>
      <c r="X210" s="19">
        <v>3</v>
      </c>
    </row>
    <row r="211" outlineLevel="1" spans="4:24">
      <c r="D211" s="19">
        <v>2</v>
      </c>
      <c r="E211" s="353" t="str">
        <f ca="1">OFFSET($V$209,MATCH(K211/OFFSET(内容释放节奏!$L$51,MATCH(E12,内容释放节奏!$K$52:$K$81,1),0),$W$210:$W$216,1),0)</f>
        <v>蓝</v>
      </c>
      <c r="F211" s="19" t="str">
        <f ca="1">OFFSET($V$209,MATCH(L211/OFFSET(内容释放节奏!$L$51,MATCH(F12,内容释放节奏!$K$52:$K$81,1),0),$W$210:$W$216,1),0)</f>
        <v>蓝</v>
      </c>
      <c r="G211" s="19" t="str">
        <f ca="1">OFFSET($V$209,MATCH(M211/OFFSET(内容释放节奏!$L$51,MATCH(G12,内容释放节奏!$K$52:$K$81,1),0),$W$210:$W$216,1),0)</f>
        <v>蓝</v>
      </c>
      <c r="H211" s="19" t="str">
        <f ca="1">OFFSET($V$209,MATCH(N211/OFFSET(内容释放节奏!$L$51,MATCH(H12,内容释放节奏!$K$52:$K$81,1),0),$W$210:$W$216,1),0)</f>
        <v>紫</v>
      </c>
      <c r="J211" s="19">
        <v>2</v>
      </c>
      <c r="K211" s="19">
        <f t="shared" ref="K211:K242" si="34">K$208*$J211+L12*2</f>
        <v>298</v>
      </c>
      <c r="L211" s="19">
        <f t="shared" ref="L211:L242" si="35">L$208*$J211+M12*2</f>
        <v>582</v>
      </c>
      <c r="M211" s="19">
        <f t="shared" ref="M211:M242" si="36">M$208*$J211+N12*2</f>
        <v>612</v>
      </c>
      <c r="N211" s="19">
        <f t="shared" ref="N211:N242" si="37">N$208*$J211+O12*2</f>
        <v>1756</v>
      </c>
      <c r="P211" s="19">
        <v>2</v>
      </c>
      <c r="Q211" s="19">
        <f ca="1">OFFSET(内容释放节奏!$L$51,MATCH(E12,内容释放节奏!$K$52:$K$81,1),0)</f>
        <v>16</v>
      </c>
      <c r="R211" s="19">
        <f ca="1">OFFSET(内容释放节奏!$L$51,MATCH(F12,内容释放节奏!$K$52:$K$81,1),0)</f>
        <v>17</v>
      </c>
      <c r="S211" s="19">
        <f ca="1">OFFSET(内容释放节奏!$L$51,MATCH(G12,内容释放节奏!$K$52:$K$81,1),0)</f>
        <v>17</v>
      </c>
      <c r="T211" s="19">
        <f ca="1">OFFSET(内容释放节奏!$L$51,MATCH(H12,内容释放节奏!$K$52:$K$81,1),0)</f>
        <v>22</v>
      </c>
      <c r="V211" s="19" t="s">
        <v>319</v>
      </c>
      <c r="W211" s="19">
        <f t="shared" ref="W211:W216" si="38">W210*4</f>
        <v>4</v>
      </c>
      <c r="X211" s="19">
        <v>6</v>
      </c>
    </row>
    <row r="212" outlineLevel="1" spans="4:24">
      <c r="D212" s="19">
        <v>3</v>
      </c>
      <c r="E212" s="353" t="str">
        <f ca="1">OFFSET($V$209,MATCH(K212/OFFSET(内容释放节奏!$L$51,MATCH(E13,内容释放节奏!$K$52:$K$81,1),0),$W$210:$W$216,1),0)</f>
        <v>蓝</v>
      </c>
      <c r="F212" s="19" t="str">
        <f ca="1">OFFSET($V$209,MATCH(L212/OFFSET(内容释放节奏!$L$51,MATCH(F13,内容释放节奏!$K$52:$K$81,1),0),$W$210:$W$216,1),0)</f>
        <v>蓝</v>
      </c>
      <c r="G212" s="19" t="str">
        <f ca="1">OFFSET($V$209,MATCH(M212/OFFSET(内容释放节奏!$L$51,MATCH(G13,内容释放节奏!$K$52:$K$81,1),0),$W$210:$W$216,1),0)</f>
        <v>蓝</v>
      </c>
      <c r="H212" s="19" t="str">
        <f ca="1">OFFSET($V$209,MATCH(N212/OFFSET(内容释放节奏!$L$51,MATCH(H13,内容释放节奏!$K$52:$K$81,1),0),$W$210:$W$216,1),0)</f>
        <v>紫</v>
      </c>
      <c r="J212" s="19">
        <v>3</v>
      </c>
      <c r="K212" s="19">
        <f t="shared" si="34"/>
        <v>439</v>
      </c>
      <c r="L212" s="19">
        <f t="shared" si="35"/>
        <v>859</v>
      </c>
      <c r="M212" s="19">
        <f t="shared" si="36"/>
        <v>898</v>
      </c>
      <c r="N212" s="19">
        <f t="shared" si="37"/>
        <v>2609</v>
      </c>
      <c r="P212" s="19">
        <v>3</v>
      </c>
      <c r="Q212" s="19">
        <f ca="1">OFFSET(内容释放节奏!$L$51,MATCH(E13,内容释放节奏!$K$52:$K$81,1),0)</f>
        <v>20</v>
      </c>
      <c r="R212" s="19">
        <f ca="1">OFFSET(内容释放节奏!$L$51,MATCH(F13,内容释放节奏!$K$52:$K$81,1),0)</f>
        <v>21</v>
      </c>
      <c r="S212" s="19">
        <f ca="1">OFFSET(内容释放节奏!$L$51,MATCH(G13,内容释放节奏!$K$52:$K$81,1),0)</f>
        <v>21</v>
      </c>
      <c r="T212" s="19">
        <f ca="1">OFFSET(内容释放节奏!$L$51,MATCH(H13,内容释放节奏!$K$52:$K$81,1),0)</f>
        <v>25</v>
      </c>
      <c r="V212" s="19" t="s">
        <v>320</v>
      </c>
      <c r="W212" s="19">
        <f t="shared" si="38"/>
        <v>16</v>
      </c>
      <c r="X212" s="19">
        <v>8</v>
      </c>
    </row>
    <row r="213" outlineLevel="1" spans="4:24">
      <c r="D213" s="19">
        <v>4</v>
      </c>
      <c r="E213" s="353" t="str">
        <f ca="1">OFFSET($V$209,MATCH(K213/OFFSET(内容释放节奏!$L$51,MATCH(E14,内容释放节奏!$K$52:$K$81,1),0),$W$210:$W$216,1),0)</f>
        <v>蓝</v>
      </c>
      <c r="F213" s="19" t="str">
        <f ca="1">OFFSET($V$209,MATCH(L213/OFFSET(内容释放节奏!$L$51,MATCH(F14,内容释放节奏!$K$52:$K$81,1),0),$W$210:$W$216,1),0)</f>
        <v>蓝</v>
      </c>
      <c r="G213" s="19" t="str">
        <f ca="1">OFFSET($V$209,MATCH(M213/OFFSET(内容释放节奏!$L$51,MATCH(G14,内容释放节奏!$K$52:$K$81,1),0),$W$210:$W$216,1),0)</f>
        <v>蓝</v>
      </c>
      <c r="H213" s="19" t="str">
        <f ca="1">OFFSET($V$209,MATCH(N213/OFFSET(内容释放节奏!$L$51,MATCH(H14,内容释放节奏!$K$52:$K$81,1),0),$W$210:$W$216,1),0)</f>
        <v>紫</v>
      </c>
      <c r="J213" s="19">
        <v>4</v>
      </c>
      <c r="K213" s="19">
        <f t="shared" si="34"/>
        <v>578</v>
      </c>
      <c r="L213" s="19">
        <f t="shared" si="35"/>
        <v>1136</v>
      </c>
      <c r="M213" s="19">
        <f t="shared" si="36"/>
        <v>1188</v>
      </c>
      <c r="N213" s="19">
        <f t="shared" si="37"/>
        <v>3468</v>
      </c>
      <c r="P213" s="19">
        <v>4</v>
      </c>
      <c r="Q213" s="19">
        <f ca="1">OFFSET(内容释放节奏!$L$51,MATCH(E14,内容释放节奏!$K$52:$K$81,1),0)</f>
        <v>23</v>
      </c>
      <c r="R213" s="19">
        <f ca="1">OFFSET(内容释放节奏!$L$51,MATCH(F14,内容释放节奏!$K$52:$K$81,1),0)</f>
        <v>24</v>
      </c>
      <c r="S213" s="19">
        <f ca="1">OFFSET(内容释放节奏!$L$51,MATCH(G14,内容释放节奏!$K$52:$K$81,1),0)</f>
        <v>24</v>
      </c>
      <c r="T213" s="19">
        <f ca="1">OFFSET(内容释放节奏!$L$51,MATCH(H14,内容释放节奏!$K$52:$K$81,1),0)</f>
        <v>28</v>
      </c>
      <c r="V213" s="19" t="s">
        <v>323</v>
      </c>
      <c r="W213" s="19">
        <f t="shared" si="38"/>
        <v>64</v>
      </c>
      <c r="X213" s="19">
        <v>12</v>
      </c>
    </row>
    <row r="214" outlineLevel="1" spans="4:24">
      <c r="D214" s="19">
        <v>5</v>
      </c>
      <c r="E214" s="353" t="str">
        <f ca="1">OFFSET($V$209,MATCH(K214/OFFSET(内容释放节奏!$L$51,MATCH(E15,内容释放节奏!$K$52:$K$81,1),0),$W$210:$W$216,1),0)</f>
        <v>蓝</v>
      </c>
      <c r="F214" s="19" t="str">
        <f ca="1">OFFSET($V$209,MATCH(L214/OFFSET(内容释放节奏!$L$51,MATCH(F15,内容释放节奏!$K$52:$K$81,1),0),$W$210:$W$216,1),0)</f>
        <v>蓝</v>
      </c>
      <c r="G214" s="19" t="str">
        <f ca="1">OFFSET($V$209,MATCH(M214/OFFSET(内容释放节奏!$L$51,MATCH(G15,内容释放节奏!$K$52:$K$81,1),0),$W$210:$W$216,1),0)</f>
        <v>蓝</v>
      </c>
      <c r="H214" s="19" t="str">
        <f ca="1">OFFSET($V$209,MATCH(N214/OFFSET(内容释放节奏!$L$51,MATCH(H15,内容释放节奏!$K$52:$K$81,1),0),$W$210:$W$216,1),0)</f>
        <v>紫</v>
      </c>
      <c r="J214" s="19">
        <v>5</v>
      </c>
      <c r="K214" s="19">
        <f t="shared" si="34"/>
        <v>715</v>
      </c>
      <c r="L214" s="19">
        <f t="shared" si="35"/>
        <v>1411</v>
      </c>
      <c r="M214" s="19">
        <f t="shared" si="36"/>
        <v>1472</v>
      </c>
      <c r="N214" s="19">
        <f t="shared" si="37"/>
        <v>4319</v>
      </c>
      <c r="P214" s="19">
        <v>5</v>
      </c>
      <c r="Q214" s="19">
        <f ca="1">OFFSET(内容释放节奏!$L$51,MATCH(E15,内容释放节奏!$K$52:$K$81,1),0)</f>
        <v>25</v>
      </c>
      <c r="R214" s="19">
        <f ca="1">OFFSET(内容释放节奏!$L$51,MATCH(F15,内容释放节奏!$K$52:$K$81,1),0)</f>
        <v>26</v>
      </c>
      <c r="S214" s="19">
        <f ca="1">OFFSET(内容释放节奏!$L$51,MATCH(G15,内容释放节奏!$K$52:$K$81,1),0)</f>
        <v>26</v>
      </c>
      <c r="T214" s="19">
        <f ca="1">OFFSET(内容释放节奏!$L$51,MATCH(H15,内容释放节奏!$K$52:$K$81,1),0)</f>
        <v>30</v>
      </c>
      <c r="V214" s="19" t="s">
        <v>326</v>
      </c>
      <c r="W214" s="19">
        <f t="shared" si="38"/>
        <v>256</v>
      </c>
      <c r="X214" s="19">
        <v>15</v>
      </c>
    </row>
    <row r="215" outlineLevel="1" spans="4:24">
      <c r="D215" s="19">
        <v>6</v>
      </c>
      <c r="E215" s="353" t="str">
        <f ca="1">OFFSET($V$209,MATCH(K215/OFFSET(内容释放节奏!$L$51,MATCH(E16,内容释放节奏!$K$52:$K$81,1),0),$W$210:$W$216,1),0)</f>
        <v>蓝</v>
      </c>
      <c r="F215" s="19" t="str">
        <f ca="1">OFFSET($V$209,MATCH(L215/OFFSET(内容释放节奏!$L$51,MATCH(F16,内容释放节奏!$K$52:$K$81,1),0),$W$210:$W$216,1),0)</f>
        <v>蓝</v>
      </c>
      <c r="G215" s="19" t="str">
        <f ca="1">OFFSET($V$209,MATCH(M215/OFFSET(内容释放节奏!$L$51,MATCH(G16,内容释放节奏!$K$52:$K$81,1),0),$W$210:$W$216,1),0)</f>
        <v>蓝</v>
      </c>
      <c r="H215" s="19" t="str">
        <f ca="1">OFFSET($V$209,MATCH(N215/OFFSET(内容释放节奏!$L$51,MATCH(H16,内容释放节奏!$K$52:$K$81,1),0),$W$210:$W$216,1),0)</f>
        <v>紫</v>
      </c>
      <c r="J215" s="19">
        <v>6</v>
      </c>
      <c r="K215" s="19">
        <f t="shared" si="34"/>
        <v>852</v>
      </c>
      <c r="L215" s="19">
        <f t="shared" si="35"/>
        <v>1684</v>
      </c>
      <c r="M215" s="19">
        <f t="shared" si="36"/>
        <v>1754</v>
      </c>
      <c r="N215" s="19">
        <f t="shared" si="37"/>
        <v>5168</v>
      </c>
      <c r="P215" s="19">
        <v>6</v>
      </c>
      <c r="Q215" s="19">
        <f ca="1">OFFSET(内容释放节奏!$L$51,MATCH(E16,内容释放节奏!$K$52:$K$81,1),0)</f>
        <v>26</v>
      </c>
      <c r="R215" s="19">
        <f ca="1">OFFSET(内容释放节奏!$L$51,MATCH(F16,内容释放节奏!$K$52:$K$81,1),0)</f>
        <v>28</v>
      </c>
      <c r="S215" s="19">
        <f ca="1">OFFSET(内容释放节奏!$L$51,MATCH(G16,内容释放节奏!$K$52:$K$81,1),0)</f>
        <v>28</v>
      </c>
      <c r="T215" s="19">
        <f ca="1">OFFSET(内容释放节奏!$L$51,MATCH(H16,内容释放节奏!$K$52:$K$81,1),0)</f>
        <v>30</v>
      </c>
      <c r="V215" s="19" t="s">
        <v>334</v>
      </c>
      <c r="W215" s="19">
        <f t="shared" si="38"/>
        <v>1024</v>
      </c>
      <c r="X215" s="19">
        <v>18</v>
      </c>
    </row>
    <row r="216" outlineLevel="1" spans="4:24">
      <c r="D216" s="19">
        <v>7</v>
      </c>
      <c r="E216" s="353" t="str">
        <f ca="1">OFFSET($V$209,MATCH(K216/OFFSET(内容释放节奏!$L$51,MATCH(E17,内容释放节奏!$K$52:$K$81,1),0),$W$210:$W$216,1),0)</f>
        <v>蓝</v>
      </c>
      <c r="F216" s="19" t="str">
        <f ca="1">OFFSET($V$209,MATCH(L216/OFFSET(内容释放节奏!$L$51,MATCH(F17,内容释放节奏!$K$52:$K$81,1),0),$W$210:$W$216,1),0)</f>
        <v>紫</v>
      </c>
      <c r="G216" s="19" t="str">
        <f ca="1">OFFSET($V$209,MATCH(M216/OFFSET(内容释放节奏!$L$51,MATCH(G17,内容释放节奏!$K$52:$K$81,1),0),$W$210:$W$216,1),0)</f>
        <v>紫</v>
      </c>
      <c r="H216" s="19" t="str">
        <f ca="1">OFFSET($V$209,MATCH(N216/OFFSET(内容释放节奏!$L$51,MATCH(H17,内容释放节奏!$K$52:$K$81,1),0),$W$210:$W$216,1),0)</f>
        <v>紫</v>
      </c>
      <c r="J216" s="19">
        <v>7</v>
      </c>
      <c r="K216" s="19">
        <f t="shared" si="34"/>
        <v>989</v>
      </c>
      <c r="L216" s="19">
        <f t="shared" si="35"/>
        <v>1957</v>
      </c>
      <c r="M216" s="19">
        <f t="shared" si="36"/>
        <v>2036</v>
      </c>
      <c r="N216" s="19">
        <f t="shared" si="37"/>
        <v>6017</v>
      </c>
      <c r="P216" s="19">
        <v>7</v>
      </c>
      <c r="Q216" s="19">
        <f ca="1">OFFSET(内容释放节奏!$L$51,MATCH(E17,内容释放节奏!$K$52:$K$81,1),0)</f>
        <v>28</v>
      </c>
      <c r="R216" s="19">
        <f ca="1">OFFSET(内容释放节奏!$L$51,MATCH(F17,内容释放节奏!$K$52:$K$81,1),0)</f>
        <v>29</v>
      </c>
      <c r="S216" s="19">
        <f ca="1">OFFSET(内容释放节奏!$L$51,MATCH(G17,内容释放节奏!$K$52:$K$81,1),0)</f>
        <v>29</v>
      </c>
      <c r="T216" s="19">
        <f ca="1">OFFSET(内容释放节奏!$L$51,MATCH(H17,内容释放节奏!$K$52:$K$81,1),0)</f>
        <v>30</v>
      </c>
      <c r="V216" s="19" t="s">
        <v>344</v>
      </c>
      <c r="W216" s="19">
        <f t="shared" si="38"/>
        <v>4096</v>
      </c>
      <c r="X216" s="19">
        <v>20</v>
      </c>
    </row>
    <row r="217" outlineLevel="1" spans="4:24">
      <c r="D217" s="19">
        <v>8</v>
      </c>
      <c r="E217" s="19" t="str">
        <f ca="1">OFFSET($V$209,MATCH(K217/OFFSET(内容释放节奏!$L$51,MATCH(E18,内容释放节奏!$K$52:$K$81,1),0),$W$210:$W$216,1),0)</f>
        <v>蓝</v>
      </c>
      <c r="F217" s="19" t="str">
        <f ca="1">OFFSET($V$209,MATCH(L217/OFFSET(内容释放节奏!$L$51,MATCH(F18,内容释放节奏!$K$52:$K$81,1),0),$W$210:$W$216,1),0)</f>
        <v>紫</v>
      </c>
      <c r="G217" s="19" t="str">
        <f ca="1">OFFSET($V$209,MATCH(M217/OFFSET(内容释放节奏!$L$51,MATCH(G18,内容释放节奏!$K$52:$K$81,1),0),$W$210:$W$216,1),0)</f>
        <v>紫</v>
      </c>
      <c r="H217" s="19" t="str">
        <f ca="1">OFFSET($V$209,MATCH(N217/OFFSET(内容释放节奏!$L$51,MATCH(H18,内容释放节奏!$K$52:$K$81,1),0),$W$210:$W$216,1),0)</f>
        <v>紫</v>
      </c>
      <c r="J217" s="19">
        <v>8</v>
      </c>
      <c r="K217" s="19">
        <f t="shared" si="34"/>
        <v>1126</v>
      </c>
      <c r="L217" s="19">
        <f t="shared" si="35"/>
        <v>2230</v>
      </c>
      <c r="M217" s="19">
        <f t="shared" si="36"/>
        <v>2318</v>
      </c>
      <c r="N217" s="19">
        <f t="shared" si="37"/>
        <v>6864</v>
      </c>
      <c r="P217" s="19">
        <v>8</v>
      </c>
      <c r="Q217" s="19">
        <f ca="1">OFFSET(内容释放节奏!$L$51,MATCH(E18,内容释放节奏!$K$52:$K$81,1),0)</f>
        <v>29</v>
      </c>
      <c r="R217" s="19">
        <f ca="1">OFFSET(内容释放节奏!$L$51,MATCH(F18,内容释放节奏!$K$52:$K$81,1),0)</f>
        <v>30</v>
      </c>
      <c r="S217" s="19">
        <f ca="1">OFFSET(内容释放节奏!$L$51,MATCH(G18,内容释放节奏!$K$52:$K$81,1),0)</f>
        <v>30</v>
      </c>
      <c r="T217" s="19">
        <f ca="1">OFFSET(内容释放节奏!$L$51,MATCH(H18,内容释放节奏!$K$52:$K$81,1),0)</f>
        <v>30</v>
      </c>
    </row>
    <row r="218" outlineLevel="1" spans="4:24">
      <c r="D218" s="19">
        <v>9</v>
      </c>
      <c r="E218" s="19" t="str">
        <f ca="1">OFFSET($V$209,MATCH(K218/OFFSET(内容释放节奏!$L$51,MATCH(E19,内容释放节奏!$K$52:$K$81,1),0),$W$210:$W$216,1),0)</f>
        <v>蓝</v>
      </c>
      <c r="F218" s="19" t="str">
        <f ca="1">OFFSET($V$209,MATCH(L218/OFFSET(内容释放节奏!$L$51,MATCH(F19,内容释放节奏!$K$52:$K$81,1),0),$W$210:$W$216,1),0)</f>
        <v>紫</v>
      </c>
      <c r="G218" s="19" t="str">
        <f ca="1">OFFSET($V$209,MATCH(M218/OFFSET(内容释放节奏!$L$51,MATCH(G19,内容释放节奏!$K$52:$K$81,1),0),$W$210:$W$216,1),0)</f>
        <v>紫</v>
      </c>
      <c r="H218" s="19" t="str">
        <f ca="1">OFFSET($V$209,MATCH(N218/OFFSET(内容释放节奏!$L$51,MATCH(H19,内容释放节奏!$K$52:$K$81,1),0),$W$210:$W$216,1),0)</f>
        <v>橙</v>
      </c>
      <c r="J218" s="19">
        <v>9</v>
      </c>
      <c r="K218" s="19">
        <f t="shared" si="34"/>
        <v>1261</v>
      </c>
      <c r="L218" s="19">
        <f t="shared" si="35"/>
        <v>2501</v>
      </c>
      <c r="M218" s="19">
        <f t="shared" si="36"/>
        <v>2600</v>
      </c>
      <c r="N218" s="19">
        <f t="shared" si="37"/>
        <v>7713</v>
      </c>
      <c r="P218" s="19">
        <v>9</v>
      </c>
      <c r="Q218" s="19">
        <f ca="1">OFFSET(内容释放节奏!$L$51,MATCH(E19,内容释放节奏!$K$52:$K$81,1),0)</f>
        <v>30</v>
      </c>
      <c r="R218" s="19">
        <f ca="1">OFFSET(内容释放节奏!$L$51,MATCH(F19,内容释放节奏!$K$52:$K$81,1),0)</f>
        <v>30</v>
      </c>
      <c r="S218" s="19">
        <f ca="1">OFFSET(内容释放节奏!$L$51,MATCH(G19,内容释放节奏!$K$52:$K$81,1),0)</f>
        <v>30</v>
      </c>
      <c r="T218" s="19">
        <f ca="1">OFFSET(内容释放节奏!$L$51,MATCH(H19,内容释放节奏!$K$52:$K$81,1),0)</f>
        <v>30</v>
      </c>
    </row>
    <row r="219" outlineLevel="1" spans="4:24">
      <c r="D219" s="19">
        <v>10</v>
      </c>
      <c r="E219" s="19" t="str">
        <f ca="1">OFFSET($V$209,MATCH(K219/OFFSET(内容释放节奏!$L$51,MATCH(E20,内容释放节奏!$K$52:$K$81,1),0),$W$210:$W$216,1),0)</f>
        <v>蓝</v>
      </c>
      <c r="F219" s="19" t="str">
        <f ca="1">OFFSET($V$209,MATCH(L219/OFFSET(内容释放节奏!$L$51,MATCH(F20,内容释放节奏!$K$52:$K$81,1),0),$W$210:$W$216,1),0)</f>
        <v>紫</v>
      </c>
      <c r="G219" s="19" t="str">
        <f ca="1">OFFSET($V$209,MATCH(M219/OFFSET(内容释放节奏!$L$51,MATCH(G20,内容释放节奏!$K$52:$K$81,1),0),$W$210:$W$216,1),0)</f>
        <v>紫</v>
      </c>
      <c r="H219" s="19" t="str">
        <f ca="1">OFFSET($V$209,MATCH(N219/OFFSET(内容释放节奏!$L$51,MATCH(H20,内容释放节奏!$K$52:$K$81,1),0),$W$210:$W$216,1),0)</f>
        <v>橙</v>
      </c>
      <c r="J219" s="19">
        <v>10</v>
      </c>
      <c r="K219" s="19">
        <f t="shared" si="34"/>
        <v>1396</v>
      </c>
      <c r="L219" s="19">
        <f t="shared" si="35"/>
        <v>2774</v>
      </c>
      <c r="M219" s="19">
        <f t="shared" si="36"/>
        <v>2882</v>
      </c>
      <c r="N219" s="19">
        <f t="shared" si="37"/>
        <v>8562</v>
      </c>
      <c r="P219" s="19">
        <v>10</v>
      </c>
      <c r="Q219" s="19">
        <f ca="1">OFFSET(内容释放节奏!$L$51,MATCH(E20,内容释放节奏!$K$52:$K$81,1),0)</f>
        <v>30</v>
      </c>
      <c r="R219" s="19">
        <f ca="1">OFFSET(内容释放节奏!$L$51,MATCH(F20,内容释放节奏!$K$52:$K$81,1),0)</f>
        <v>30</v>
      </c>
      <c r="S219" s="19">
        <f ca="1">OFFSET(内容释放节奏!$L$51,MATCH(G20,内容释放节奏!$K$52:$K$81,1),0)</f>
        <v>30</v>
      </c>
      <c r="T219" s="19">
        <f ca="1">OFFSET(内容释放节奏!$L$51,MATCH(H20,内容释放节奏!$K$52:$K$81,1),0)</f>
        <v>30</v>
      </c>
    </row>
    <row r="220" outlineLevel="1" spans="4:24">
      <c r="D220" s="19">
        <v>11</v>
      </c>
      <c r="E220" s="19" t="str">
        <f ca="1">OFFSET($V$209,MATCH(K220/OFFSET(内容释放节奏!$L$51,MATCH(E21,内容释放节奏!$K$52:$K$81,1),0),$W$210:$W$216,1),0)</f>
        <v>蓝</v>
      </c>
      <c r="F220" s="19" t="str">
        <f ca="1">OFFSET($V$209,MATCH(L220/OFFSET(内容释放节奏!$L$51,MATCH(F21,内容释放节奏!$K$52:$K$81,1),0),$W$210:$W$216,1),0)</f>
        <v>紫</v>
      </c>
      <c r="G220" s="19" t="str">
        <f ca="1">OFFSET($V$209,MATCH(M220/OFFSET(内容释放节奏!$L$51,MATCH(G21,内容释放节奏!$K$52:$K$81,1),0),$W$210:$W$216,1),0)</f>
        <v>紫</v>
      </c>
      <c r="H220" s="19" t="str">
        <f ca="1">OFFSET($V$209,MATCH(N220/OFFSET(内容释放节奏!$L$51,MATCH(H21,内容释放节奏!$K$52:$K$81,1),0),$W$210:$W$216,1),0)</f>
        <v>橙</v>
      </c>
      <c r="J220" s="19">
        <v>11</v>
      </c>
      <c r="K220" s="19">
        <f t="shared" si="34"/>
        <v>1531</v>
      </c>
      <c r="L220" s="19">
        <f t="shared" si="35"/>
        <v>3045</v>
      </c>
      <c r="M220" s="19">
        <f t="shared" si="36"/>
        <v>3164</v>
      </c>
      <c r="N220" s="19">
        <f t="shared" si="37"/>
        <v>9411</v>
      </c>
      <c r="P220" s="19">
        <v>11</v>
      </c>
      <c r="Q220" s="19">
        <f ca="1">OFFSET(内容释放节奏!$L$51,MATCH(E21,内容释放节奏!$K$52:$K$81,1),0)</f>
        <v>30</v>
      </c>
      <c r="R220" s="19">
        <f ca="1">OFFSET(内容释放节奏!$L$51,MATCH(F21,内容释放节奏!$K$52:$K$81,1),0)</f>
        <v>30</v>
      </c>
      <c r="S220" s="19">
        <f ca="1">OFFSET(内容释放节奏!$L$51,MATCH(G21,内容释放节奏!$K$52:$K$81,1),0)</f>
        <v>30</v>
      </c>
      <c r="T220" s="19">
        <f ca="1">OFFSET(内容释放节奏!$L$51,MATCH(H21,内容释放节奏!$K$52:$K$81,1),0)</f>
        <v>30</v>
      </c>
    </row>
    <row r="221" outlineLevel="1" spans="4:24">
      <c r="D221" s="19">
        <v>12</v>
      </c>
      <c r="E221" s="19" t="str">
        <f ca="1">OFFSET($V$209,MATCH(K221/OFFSET(内容释放节奏!$L$51,MATCH(E22,内容释放节奏!$K$52:$K$81,1),0),$W$210:$W$216,1),0)</f>
        <v>蓝</v>
      </c>
      <c r="F221" s="19" t="str">
        <f ca="1">OFFSET($V$209,MATCH(L221/OFFSET(内容释放节奏!$L$51,MATCH(F22,内容释放节奏!$K$52:$K$81,1),0),$W$210:$W$216,1),0)</f>
        <v>紫</v>
      </c>
      <c r="G221" s="19" t="str">
        <f ca="1">OFFSET($V$209,MATCH(M221/OFFSET(内容释放节奏!$L$51,MATCH(G22,内容释放节奏!$K$52:$K$81,1),0),$W$210:$W$216,1),0)</f>
        <v>紫</v>
      </c>
      <c r="H221" s="19" t="str">
        <f ca="1">OFFSET($V$209,MATCH(N221/OFFSET(内容释放节奏!$L$51,MATCH(H22,内容释放节奏!$K$52:$K$81,1),0),$W$210:$W$216,1),0)</f>
        <v>橙</v>
      </c>
      <c r="J221" s="19">
        <v>12</v>
      </c>
      <c r="K221" s="19">
        <f t="shared" si="34"/>
        <v>1666</v>
      </c>
      <c r="L221" s="19">
        <f t="shared" si="35"/>
        <v>3316</v>
      </c>
      <c r="M221" s="19">
        <f t="shared" si="36"/>
        <v>3444</v>
      </c>
      <c r="N221" s="19">
        <f t="shared" si="37"/>
        <v>10256</v>
      </c>
      <c r="P221" s="19">
        <v>12</v>
      </c>
      <c r="Q221" s="19">
        <f ca="1">OFFSET(内容释放节奏!$L$51,MATCH(E22,内容释放节奏!$K$52:$K$81,1),0)</f>
        <v>30</v>
      </c>
      <c r="R221" s="19">
        <f ca="1">OFFSET(内容释放节奏!$L$51,MATCH(F22,内容释放节奏!$K$52:$K$81,1),0)</f>
        <v>30</v>
      </c>
      <c r="S221" s="19">
        <f ca="1">OFFSET(内容释放节奏!$L$51,MATCH(G22,内容释放节奏!$K$52:$K$81,1),0)</f>
        <v>30</v>
      </c>
      <c r="T221" s="19">
        <f ca="1">OFFSET(内容释放节奏!$L$51,MATCH(H22,内容释放节奏!$K$52:$K$81,1),0)</f>
        <v>30</v>
      </c>
    </row>
    <row r="222" outlineLevel="1" spans="4:24">
      <c r="D222" s="19">
        <v>13</v>
      </c>
      <c r="E222" s="19" t="str">
        <f ca="1">OFFSET($V$209,MATCH(K222/OFFSET(内容释放节奏!$L$51,MATCH(E23,内容释放节奏!$K$52:$K$81,1),0),$W$210:$W$216,1),0)</f>
        <v>蓝</v>
      </c>
      <c r="F222" s="19" t="str">
        <f ca="1">OFFSET($V$209,MATCH(L222/OFFSET(内容释放节奏!$L$51,MATCH(F23,内容释放节奏!$K$52:$K$81,1),0),$W$210:$W$216,1),0)</f>
        <v>紫</v>
      </c>
      <c r="G222" s="19" t="str">
        <f ca="1">OFFSET($V$209,MATCH(M222/OFFSET(内容释放节奏!$L$51,MATCH(G23,内容释放节奏!$K$52:$K$81,1),0),$W$210:$W$216,1),0)</f>
        <v>紫</v>
      </c>
      <c r="H222" s="19" t="str">
        <f ca="1">OFFSET($V$209,MATCH(N222/OFFSET(内容释放节奏!$L$51,MATCH(H23,内容释放节奏!$K$52:$K$81,1),0),$W$210:$W$216,1),0)</f>
        <v>橙</v>
      </c>
      <c r="J222" s="19">
        <v>13</v>
      </c>
      <c r="K222" s="19">
        <f t="shared" si="34"/>
        <v>1799</v>
      </c>
      <c r="L222" s="19">
        <f t="shared" si="35"/>
        <v>3587</v>
      </c>
      <c r="M222" s="19">
        <f t="shared" si="36"/>
        <v>3724</v>
      </c>
      <c r="N222" s="19">
        <f t="shared" si="37"/>
        <v>11103</v>
      </c>
      <c r="P222" s="19">
        <v>13</v>
      </c>
      <c r="Q222" s="19">
        <f ca="1">OFFSET(内容释放节奏!$L$51,MATCH(E23,内容释放节奏!$K$52:$K$81,1),0)</f>
        <v>30</v>
      </c>
      <c r="R222" s="19">
        <f ca="1">OFFSET(内容释放节奏!$L$51,MATCH(F23,内容释放节奏!$K$52:$K$81,1),0)</f>
        <v>30</v>
      </c>
      <c r="S222" s="19">
        <f ca="1">OFFSET(内容释放节奏!$L$51,MATCH(G23,内容释放节奏!$K$52:$K$81,1),0)</f>
        <v>30</v>
      </c>
      <c r="T222" s="19">
        <f ca="1">OFFSET(内容释放节奏!$L$51,MATCH(H23,内容释放节奏!$K$52:$K$81,1),0)</f>
        <v>30</v>
      </c>
    </row>
    <row r="223" outlineLevel="1" spans="4:24">
      <c r="D223" s="19">
        <v>14</v>
      </c>
      <c r="E223" s="19" t="str">
        <f ca="1">OFFSET($V$209,MATCH(K223/OFFSET(内容释放节奏!$L$51,MATCH(E24,内容释放节奏!$K$52:$K$81,1),0),$W$210:$W$216,1),0)</f>
        <v>紫</v>
      </c>
      <c r="F223" s="19" t="str">
        <f ca="1">OFFSET($V$209,MATCH(L223/OFFSET(内容释放节奏!$L$51,MATCH(F24,内容释放节奏!$K$52:$K$81,1),0),$W$210:$W$216,1),0)</f>
        <v>紫</v>
      </c>
      <c r="G223" s="19" t="str">
        <f ca="1">OFFSET($V$209,MATCH(M223/OFFSET(内容释放节奏!$L$51,MATCH(G24,内容释放节奏!$K$52:$K$81,1),0),$W$210:$W$216,1),0)</f>
        <v>紫</v>
      </c>
      <c r="H223" s="19" t="str">
        <f ca="1">OFFSET($V$209,MATCH(N223/OFFSET(内容释放节奏!$L$51,MATCH(H24,内容释放节奏!$K$52:$K$81,1),0),$W$210:$W$216,1),0)</f>
        <v>橙</v>
      </c>
      <c r="J223" s="19">
        <v>14</v>
      </c>
      <c r="K223" s="19">
        <f t="shared" si="34"/>
        <v>1934</v>
      </c>
      <c r="L223" s="19">
        <f t="shared" si="35"/>
        <v>3858</v>
      </c>
      <c r="M223" s="19">
        <f t="shared" si="36"/>
        <v>4004</v>
      </c>
      <c r="N223" s="19">
        <f t="shared" si="37"/>
        <v>11948</v>
      </c>
      <c r="P223" s="19">
        <v>14</v>
      </c>
      <c r="Q223" s="19">
        <f ca="1">OFFSET(内容释放节奏!$L$51,MATCH(E24,内容释放节奏!$K$52:$K$81,1),0)</f>
        <v>30</v>
      </c>
      <c r="R223" s="19">
        <f ca="1">OFFSET(内容释放节奏!$L$51,MATCH(F24,内容释放节奏!$K$52:$K$81,1),0)</f>
        <v>30</v>
      </c>
      <c r="S223" s="19">
        <f ca="1">OFFSET(内容释放节奏!$L$51,MATCH(G24,内容释放节奏!$K$52:$K$81,1),0)</f>
        <v>30</v>
      </c>
      <c r="T223" s="19">
        <f ca="1">OFFSET(内容释放节奏!$L$51,MATCH(H24,内容释放节奏!$K$52:$K$81,1),0)</f>
        <v>30</v>
      </c>
    </row>
    <row r="224" outlineLevel="1" spans="4:24">
      <c r="D224" s="19">
        <v>15</v>
      </c>
      <c r="E224" s="19" t="str">
        <f ca="1">OFFSET($V$209,MATCH(K224/OFFSET(内容释放节奏!$L$51,MATCH(E25,内容释放节奏!$K$52:$K$81,1),0),$W$210:$W$216,1),0)</f>
        <v>紫</v>
      </c>
      <c r="F224" s="19" t="str">
        <f ca="1">OFFSET($V$209,MATCH(L224/OFFSET(内容释放节奏!$L$51,MATCH(F25,内容释放节奏!$K$52:$K$81,1),0),$W$210:$W$216,1),0)</f>
        <v>紫</v>
      </c>
      <c r="G224" s="19" t="str">
        <f ca="1">OFFSET($V$209,MATCH(M224/OFFSET(内容释放节奏!$L$51,MATCH(G25,内容释放节奏!$K$52:$K$81,1),0),$W$210:$W$216,1),0)</f>
        <v>紫</v>
      </c>
      <c r="H224" s="19" t="str">
        <f ca="1">OFFSET($V$209,MATCH(N224/OFFSET(内容释放节奏!$L$51,MATCH(H25,内容释放节奏!$K$52:$K$81,1),0),$W$210:$W$216,1),0)</f>
        <v>橙</v>
      </c>
      <c r="J224" s="19">
        <v>15</v>
      </c>
      <c r="K224" s="19">
        <f t="shared" si="34"/>
        <v>2067</v>
      </c>
      <c r="L224" s="19">
        <f t="shared" si="35"/>
        <v>4127</v>
      </c>
      <c r="M224" s="19">
        <f t="shared" si="36"/>
        <v>4282</v>
      </c>
      <c r="N224" s="19">
        <f t="shared" si="37"/>
        <v>12791</v>
      </c>
      <c r="P224" s="19">
        <v>15</v>
      </c>
      <c r="Q224" s="19">
        <f ca="1">OFFSET(内容释放节奏!$L$51,MATCH(E25,内容释放节奏!$K$52:$K$81,1),0)</f>
        <v>30</v>
      </c>
      <c r="R224" s="19">
        <f ca="1">OFFSET(内容释放节奏!$L$51,MATCH(F25,内容释放节奏!$K$52:$K$81,1),0)</f>
        <v>30</v>
      </c>
      <c r="S224" s="19">
        <f ca="1">OFFSET(内容释放节奏!$L$51,MATCH(G25,内容释放节奏!$K$52:$K$81,1),0)</f>
        <v>30</v>
      </c>
      <c r="T224" s="19">
        <f ca="1">OFFSET(内容释放节奏!$L$51,MATCH(H25,内容释放节奏!$K$52:$K$81,1),0)</f>
        <v>30</v>
      </c>
    </row>
    <row r="225" outlineLevel="1" spans="4:20">
      <c r="D225" s="19">
        <v>16</v>
      </c>
      <c r="E225" s="19" t="str">
        <f ca="1">OFFSET($V$209,MATCH(K225/OFFSET(内容释放节奏!$L$51,MATCH(E26,内容释放节奏!$K$52:$K$81,1),0),$W$210:$W$216,1),0)</f>
        <v>紫</v>
      </c>
      <c r="F225" s="19" t="str">
        <f ca="1">OFFSET($V$209,MATCH(L225/OFFSET(内容释放节奏!$L$51,MATCH(F26,内容释放节奏!$K$52:$K$81,1),0),$W$210:$W$216,1),0)</f>
        <v>紫</v>
      </c>
      <c r="G225" s="19" t="str">
        <f ca="1">OFFSET($V$209,MATCH(M225/OFFSET(内容释放节奏!$L$51,MATCH(G26,内容释放节奏!$K$52:$K$81,1),0),$W$210:$W$216,1),0)</f>
        <v>紫</v>
      </c>
      <c r="H225" s="19" t="str">
        <f ca="1">OFFSET($V$209,MATCH(N225/OFFSET(内容释放节奏!$L$51,MATCH(H26,内容释放节奏!$K$52:$K$81,1),0),$W$210:$W$216,1),0)</f>
        <v>橙</v>
      </c>
      <c r="J225" s="19">
        <v>16</v>
      </c>
      <c r="K225" s="19">
        <f t="shared" si="34"/>
        <v>2202</v>
      </c>
      <c r="L225" s="19">
        <f t="shared" si="35"/>
        <v>4396</v>
      </c>
      <c r="M225" s="19">
        <f t="shared" si="36"/>
        <v>4560</v>
      </c>
      <c r="N225" s="19">
        <f t="shared" si="37"/>
        <v>13636</v>
      </c>
      <c r="P225" s="19">
        <v>16</v>
      </c>
      <c r="Q225" s="19">
        <f ca="1">OFFSET(内容释放节奏!$L$51,MATCH(E26,内容释放节奏!$K$52:$K$81,1),0)</f>
        <v>30</v>
      </c>
      <c r="R225" s="19">
        <f ca="1">OFFSET(内容释放节奏!$L$51,MATCH(F26,内容释放节奏!$K$52:$K$81,1),0)</f>
        <v>30</v>
      </c>
      <c r="S225" s="19">
        <f ca="1">OFFSET(内容释放节奏!$L$51,MATCH(G26,内容释放节奏!$K$52:$K$81,1),0)</f>
        <v>30</v>
      </c>
      <c r="T225" s="19">
        <f ca="1">OFFSET(内容释放节奏!$L$51,MATCH(H26,内容释放节奏!$K$52:$K$81,1),0)</f>
        <v>30</v>
      </c>
    </row>
    <row r="226" outlineLevel="1" spans="4:20">
      <c r="D226" s="19">
        <v>17</v>
      </c>
      <c r="E226" s="19" t="str">
        <f ca="1">OFFSET($V$209,MATCH(K226/OFFSET(内容释放节奏!$L$51,MATCH(E27,内容释放节奏!$K$52:$K$81,1),0),$W$210:$W$216,1),0)</f>
        <v>紫</v>
      </c>
      <c r="F226" s="19" t="str">
        <f ca="1">OFFSET($V$209,MATCH(L226/OFFSET(内容释放节奏!$L$51,MATCH(F27,内容释放节奏!$K$52:$K$81,1),0),$W$210:$W$216,1),0)</f>
        <v>紫</v>
      </c>
      <c r="G226" s="19" t="str">
        <f ca="1">OFFSET($V$209,MATCH(M226/OFFSET(内容释放节奏!$L$51,MATCH(G27,内容释放节奏!$K$52:$K$81,1),0),$W$210:$W$216,1),0)</f>
        <v>紫</v>
      </c>
      <c r="H226" s="19" t="str">
        <f ca="1">OFFSET($V$209,MATCH(N226/OFFSET(内容释放节奏!$L$51,MATCH(H27,内容释放节奏!$K$52:$K$81,1),0),$W$210:$W$216,1),0)</f>
        <v>橙</v>
      </c>
      <c r="J226" s="19">
        <v>17</v>
      </c>
      <c r="K226" s="19">
        <f t="shared" si="34"/>
        <v>2335</v>
      </c>
      <c r="L226" s="19">
        <f t="shared" si="35"/>
        <v>4665</v>
      </c>
      <c r="M226" s="19">
        <f t="shared" si="36"/>
        <v>4838</v>
      </c>
      <c r="N226" s="19">
        <f t="shared" si="37"/>
        <v>14479</v>
      </c>
      <c r="P226" s="19">
        <v>17</v>
      </c>
      <c r="Q226" s="19">
        <f ca="1">OFFSET(内容释放节奏!$L$51,MATCH(E27,内容释放节奏!$K$52:$K$81,1),0)</f>
        <v>30</v>
      </c>
      <c r="R226" s="19">
        <f ca="1">OFFSET(内容释放节奏!$L$51,MATCH(F27,内容释放节奏!$K$52:$K$81,1),0)</f>
        <v>30</v>
      </c>
      <c r="S226" s="19">
        <f ca="1">OFFSET(内容释放节奏!$L$51,MATCH(G27,内容释放节奏!$K$52:$K$81,1),0)</f>
        <v>30</v>
      </c>
      <c r="T226" s="19">
        <f ca="1">OFFSET(内容释放节奏!$L$51,MATCH(H27,内容释放节奏!$K$52:$K$81,1),0)</f>
        <v>30</v>
      </c>
    </row>
    <row r="227" outlineLevel="1" spans="4:20">
      <c r="D227" s="19">
        <v>18</v>
      </c>
      <c r="E227" s="19" t="str">
        <f ca="1">OFFSET($V$209,MATCH(K227/OFFSET(内容释放节奏!$L$51,MATCH(E28,内容释放节奏!$K$52:$K$81,1),0),$W$210:$W$216,1),0)</f>
        <v>紫</v>
      </c>
      <c r="F227" s="19" t="str">
        <f ca="1">OFFSET($V$209,MATCH(L227/OFFSET(内容释放节奏!$L$51,MATCH(F28,内容释放节奏!$K$52:$K$81,1),0),$W$210:$W$216,1),0)</f>
        <v>紫</v>
      </c>
      <c r="G227" s="19" t="str">
        <f ca="1">OFFSET($V$209,MATCH(M227/OFFSET(内容释放节奏!$L$51,MATCH(G28,内容释放节奏!$K$52:$K$81,1),0),$W$210:$W$216,1),0)</f>
        <v>紫</v>
      </c>
      <c r="H227" s="19" t="str">
        <f ca="1">OFFSET($V$209,MATCH(N227/OFFSET(内容释放节奏!$L$51,MATCH(H28,内容释放节奏!$K$52:$K$81,1),0),$W$210:$W$216,1),0)</f>
        <v>橙</v>
      </c>
      <c r="J227" s="19">
        <v>18</v>
      </c>
      <c r="K227" s="19">
        <f t="shared" si="34"/>
        <v>2468</v>
      </c>
      <c r="L227" s="19">
        <f t="shared" si="35"/>
        <v>4934</v>
      </c>
      <c r="M227" s="19">
        <f t="shared" si="36"/>
        <v>5116</v>
      </c>
      <c r="N227" s="19">
        <f t="shared" si="37"/>
        <v>15322</v>
      </c>
      <c r="P227" s="19">
        <v>18</v>
      </c>
      <c r="Q227" s="19">
        <f ca="1">OFFSET(内容释放节奏!$L$51,MATCH(E28,内容释放节奏!$K$52:$K$81,1),0)</f>
        <v>30</v>
      </c>
      <c r="R227" s="19">
        <f ca="1">OFFSET(内容释放节奏!$L$51,MATCH(F28,内容释放节奏!$K$52:$K$81,1),0)</f>
        <v>30</v>
      </c>
      <c r="S227" s="19">
        <f ca="1">OFFSET(内容释放节奏!$L$51,MATCH(G28,内容释放节奏!$K$52:$K$81,1),0)</f>
        <v>30</v>
      </c>
      <c r="T227" s="19">
        <f ca="1">OFFSET(内容释放节奏!$L$51,MATCH(H28,内容释放节奏!$K$52:$K$81,1),0)</f>
        <v>30</v>
      </c>
    </row>
    <row r="228" outlineLevel="1" spans="4:20">
      <c r="D228" s="19">
        <v>19</v>
      </c>
      <c r="E228" s="19" t="str">
        <f ca="1">OFFSET($V$209,MATCH(K228/OFFSET(内容释放节奏!$L$51,MATCH(E29,内容释放节奏!$K$52:$K$81,1),0),$W$210:$W$216,1),0)</f>
        <v>紫</v>
      </c>
      <c r="F228" s="19" t="str">
        <f ca="1">OFFSET($V$209,MATCH(L228/OFFSET(内容释放节奏!$L$51,MATCH(F29,内容释放节奏!$K$52:$K$81,1),0),$W$210:$W$216,1),0)</f>
        <v>紫</v>
      </c>
      <c r="G228" s="19" t="str">
        <f ca="1">OFFSET($V$209,MATCH(M228/OFFSET(内容释放节奏!$L$51,MATCH(G29,内容释放节奏!$K$52:$K$81,1),0),$W$210:$W$216,1),0)</f>
        <v>紫</v>
      </c>
      <c r="H228" s="19" t="str">
        <f ca="1">OFFSET($V$209,MATCH(N228/OFFSET(内容释放节奏!$L$51,MATCH(H29,内容释放节奏!$K$52:$K$81,1),0),$W$210:$W$216,1),0)</f>
        <v>橙</v>
      </c>
      <c r="J228" s="19">
        <v>19</v>
      </c>
      <c r="K228" s="19">
        <f t="shared" si="34"/>
        <v>2601</v>
      </c>
      <c r="L228" s="19">
        <f t="shared" si="35"/>
        <v>5203</v>
      </c>
      <c r="M228" s="19">
        <f t="shared" si="36"/>
        <v>5394</v>
      </c>
      <c r="N228" s="19">
        <f t="shared" si="37"/>
        <v>16165</v>
      </c>
      <c r="P228" s="19">
        <v>19</v>
      </c>
      <c r="Q228" s="19">
        <f ca="1">OFFSET(内容释放节奏!$L$51,MATCH(E29,内容释放节奏!$K$52:$K$81,1),0)</f>
        <v>30</v>
      </c>
      <c r="R228" s="19">
        <f ca="1">OFFSET(内容释放节奏!$L$51,MATCH(F29,内容释放节奏!$K$52:$K$81,1),0)</f>
        <v>30</v>
      </c>
      <c r="S228" s="19">
        <f ca="1">OFFSET(内容释放节奏!$L$51,MATCH(G29,内容释放节奏!$K$52:$K$81,1),0)</f>
        <v>30</v>
      </c>
      <c r="T228" s="19">
        <f ca="1">OFFSET(内容释放节奏!$L$51,MATCH(H29,内容释放节奏!$K$52:$K$81,1),0)</f>
        <v>30</v>
      </c>
    </row>
    <row r="229" outlineLevel="1" spans="4:20">
      <c r="D229" s="19">
        <v>20</v>
      </c>
      <c r="E229" s="19" t="str">
        <f ca="1">OFFSET($V$209,MATCH(K229/OFFSET(内容释放节奏!$L$51,MATCH(E30,内容释放节奏!$K$52:$K$81,1),0),$W$210:$W$216,1),0)</f>
        <v>紫</v>
      </c>
      <c r="F229" s="19" t="str">
        <f ca="1">OFFSET($V$209,MATCH(L229/OFFSET(内容释放节奏!$L$51,MATCH(F30,内容释放节奏!$K$52:$K$81,1),0),$W$210:$W$216,1),0)</f>
        <v>紫</v>
      </c>
      <c r="G229" s="19" t="str">
        <f ca="1">OFFSET($V$209,MATCH(M229/OFFSET(内容释放节奏!$L$51,MATCH(G30,内容释放节奏!$K$52:$K$81,1),0),$W$210:$W$216,1),0)</f>
        <v>紫</v>
      </c>
      <c r="H229" s="19" t="str">
        <f ca="1">OFFSET($V$209,MATCH(N229/OFFSET(内容释放节奏!$L$51,MATCH(H30,内容释放节奏!$K$52:$K$81,1),0),$W$210:$W$216,1),0)</f>
        <v>橙</v>
      </c>
      <c r="J229" s="19">
        <v>20</v>
      </c>
      <c r="K229" s="19">
        <f t="shared" si="34"/>
        <v>2734</v>
      </c>
      <c r="L229" s="19">
        <f t="shared" si="35"/>
        <v>5472</v>
      </c>
      <c r="M229" s="19">
        <f t="shared" si="36"/>
        <v>5672</v>
      </c>
      <c r="N229" s="19">
        <f t="shared" si="37"/>
        <v>17010</v>
      </c>
      <c r="P229" s="19">
        <v>20</v>
      </c>
      <c r="Q229" s="19">
        <f ca="1">OFFSET(内容释放节奏!$L$51,MATCH(E30,内容释放节奏!$K$52:$K$81,1),0)</f>
        <v>30</v>
      </c>
      <c r="R229" s="19">
        <f ca="1">OFFSET(内容释放节奏!$L$51,MATCH(F30,内容释放节奏!$K$52:$K$81,1),0)</f>
        <v>30</v>
      </c>
      <c r="S229" s="19">
        <f ca="1">OFFSET(内容释放节奏!$L$51,MATCH(G30,内容释放节奏!$K$52:$K$81,1),0)</f>
        <v>30</v>
      </c>
      <c r="T229" s="19">
        <f ca="1">OFFSET(内容释放节奏!$L$51,MATCH(H30,内容释放节奏!$K$52:$K$81,1),0)</f>
        <v>30</v>
      </c>
    </row>
    <row r="230" outlineLevel="1" spans="4:20">
      <c r="D230" s="19">
        <v>21</v>
      </c>
      <c r="E230" s="19" t="str">
        <f ca="1">OFFSET($V$209,MATCH(K230/OFFSET(内容释放节奏!$L$51,MATCH(E31,内容释放节奏!$K$52:$K$81,1),0),$W$210:$W$216,1),0)</f>
        <v>紫</v>
      </c>
      <c r="F230" s="19" t="str">
        <f ca="1">OFFSET($V$209,MATCH(L230/OFFSET(内容释放节奏!$L$51,MATCH(F31,内容释放节奏!$K$52:$K$81,1),0),$W$210:$W$216,1),0)</f>
        <v>紫</v>
      </c>
      <c r="G230" s="19" t="str">
        <f ca="1">OFFSET($V$209,MATCH(M230/OFFSET(内容释放节奏!$L$51,MATCH(G31,内容释放节奏!$K$52:$K$81,1),0),$W$210:$W$216,1),0)</f>
        <v>紫</v>
      </c>
      <c r="H230" s="19" t="str">
        <f ca="1">OFFSET($V$209,MATCH(N230/OFFSET(内容释放节奏!$L$51,MATCH(H31,内容释放节奏!$K$52:$K$81,1),0),$W$210:$W$216,1),0)</f>
        <v>橙</v>
      </c>
      <c r="J230" s="19">
        <v>21</v>
      </c>
      <c r="K230" s="19">
        <f t="shared" si="34"/>
        <v>2867</v>
      </c>
      <c r="L230" s="19">
        <f t="shared" si="35"/>
        <v>5741</v>
      </c>
      <c r="M230" s="19">
        <f t="shared" si="36"/>
        <v>5950</v>
      </c>
      <c r="N230" s="19">
        <f t="shared" si="37"/>
        <v>17853</v>
      </c>
      <c r="P230" s="19">
        <v>21</v>
      </c>
      <c r="Q230" s="19">
        <f ca="1">OFFSET(内容释放节奏!$L$51,MATCH(E31,内容释放节奏!$K$52:$K$81,1),0)</f>
        <v>30</v>
      </c>
      <c r="R230" s="19">
        <f ca="1">OFFSET(内容释放节奏!$L$51,MATCH(F31,内容释放节奏!$K$52:$K$81,1),0)</f>
        <v>30</v>
      </c>
      <c r="S230" s="19">
        <f ca="1">OFFSET(内容释放节奏!$L$51,MATCH(G31,内容释放节奏!$K$52:$K$81,1),0)</f>
        <v>30</v>
      </c>
      <c r="T230" s="19">
        <f ca="1">OFFSET(内容释放节奏!$L$51,MATCH(H31,内容释放节奏!$K$52:$K$81,1),0)</f>
        <v>30</v>
      </c>
    </row>
    <row r="231" outlineLevel="1" spans="4:20">
      <c r="D231" s="19">
        <v>22</v>
      </c>
      <c r="E231" s="19" t="str">
        <f ca="1">OFFSET($V$209,MATCH(K231/OFFSET(内容释放节奏!$L$51,MATCH(E32,内容释放节奏!$K$52:$K$81,1),0),$W$210:$W$216,1),0)</f>
        <v>紫</v>
      </c>
      <c r="F231" s="19" t="str">
        <f ca="1">OFFSET($V$209,MATCH(L231/OFFSET(内容释放节奏!$L$51,MATCH(F32,内容释放节奏!$K$52:$K$81,1),0),$W$210:$W$216,1),0)</f>
        <v>紫</v>
      </c>
      <c r="G231" s="19" t="str">
        <f ca="1">OFFSET($V$209,MATCH(M231/OFFSET(内容释放节奏!$L$51,MATCH(G32,内容释放节奏!$K$52:$K$81,1),0),$W$210:$W$216,1),0)</f>
        <v>紫</v>
      </c>
      <c r="H231" s="19" t="str">
        <f ca="1">OFFSET($V$209,MATCH(N231/OFFSET(内容释放节奏!$L$51,MATCH(H32,内容释放节奏!$K$52:$K$81,1),0),$W$210:$W$216,1),0)</f>
        <v>橙</v>
      </c>
      <c r="J231" s="19">
        <v>22</v>
      </c>
      <c r="K231" s="19">
        <f t="shared" si="34"/>
        <v>3000</v>
      </c>
      <c r="L231" s="19">
        <f t="shared" si="35"/>
        <v>6010</v>
      </c>
      <c r="M231" s="19">
        <f t="shared" si="36"/>
        <v>6228</v>
      </c>
      <c r="N231" s="19">
        <f t="shared" si="37"/>
        <v>18696</v>
      </c>
      <c r="P231" s="19">
        <v>22</v>
      </c>
      <c r="Q231" s="19">
        <f ca="1">OFFSET(内容释放节奏!$L$51,MATCH(E32,内容释放节奏!$K$52:$K$81,1),0)</f>
        <v>30</v>
      </c>
      <c r="R231" s="19">
        <f ca="1">OFFSET(内容释放节奏!$L$51,MATCH(F32,内容释放节奏!$K$52:$K$81,1),0)</f>
        <v>30</v>
      </c>
      <c r="S231" s="19">
        <f ca="1">OFFSET(内容释放节奏!$L$51,MATCH(G32,内容释放节奏!$K$52:$K$81,1),0)</f>
        <v>30</v>
      </c>
      <c r="T231" s="19">
        <f ca="1">OFFSET(内容释放节奏!$L$51,MATCH(H32,内容释放节奏!$K$52:$K$81,1),0)</f>
        <v>30</v>
      </c>
    </row>
    <row r="232" outlineLevel="1" spans="4:20">
      <c r="D232" s="19">
        <v>23</v>
      </c>
      <c r="E232" s="19" t="str">
        <f ca="1">OFFSET($V$209,MATCH(K232/OFFSET(内容释放节奏!$L$51,MATCH(E33,内容释放节奏!$K$52:$K$81,1),0),$W$210:$W$216,1),0)</f>
        <v>紫</v>
      </c>
      <c r="F232" s="19" t="str">
        <f ca="1">OFFSET($V$209,MATCH(L232/OFFSET(内容释放节奏!$L$51,MATCH(F33,内容释放节奏!$K$52:$K$81,1),0),$W$210:$W$216,1),0)</f>
        <v>紫</v>
      </c>
      <c r="G232" s="19" t="str">
        <f ca="1">OFFSET($V$209,MATCH(M232/OFFSET(内容释放节奏!$L$51,MATCH(G33,内容释放节奏!$K$52:$K$81,1),0),$W$210:$W$216,1),0)</f>
        <v>紫</v>
      </c>
      <c r="H232" s="19" t="str">
        <f ca="1">OFFSET($V$209,MATCH(N232/OFFSET(内容释放节奏!$L$51,MATCH(H33,内容释放节奏!$K$52:$K$81,1),0),$W$210:$W$216,1),0)</f>
        <v>橙</v>
      </c>
      <c r="J232" s="19">
        <v>23</v>
      </c>
      <c r="K232" s="19">
        <f t="shared" si="34"/>
        <v>3133</v>
      </c>
      <c r="L232" s="19">
        <f t="shared" si="35"/>
        <v>6279</v>
      </c>
      <c r="M232" s="19">
        <f t="shared" si="36"/>
        <v>6506</v>
      </c>
      <c r="N232" s="19">
        <f t="shared" si="37"/>
        <v>19539</v>
      </c>
      <c r="P232" s="19">
        <v>23</v>
      </c>
      <c r="Q232" s="19">
        <f ca="1">OFFSET(内容释放节奏!$L$51,MATCH(E33,内容释放节奏!$K$52:$K$81,1),0)</f>
        <v>30</v>
      </c>
      <c r="R232" s="19">
        <f ca="1">OFFSET(内容释放节奏!$L$51,MATCH(F33,内容释放节奏!$K$52:$K$81,1),0)</f>
        <v>30</v>
      </c>
      <c r="S232" s="19">
        <f ca="1">OFFSET(内容释放节奏!$L$51,MATCH(G33,内容释放节奏!$K$52:$K$81,1),0)</f>
        <v>30</v>
      </c>
      <c r="T232" s="19">
        <f ca="1">OFFSET(内容释放节奏!$L$51,MATCH(H33,内容释放节奏!$K$52:$K$81,1),0)</f>
        <v>30</v>
      </c>
    </row>
    <row r="233" outlineLevel="1" spans="4:20">
      <c r="D233" s="19">
        <v>24</v>
      </c>
      <c r="E233" s="19" t="str">
        <f ca="1">OFFSET($V$209,MATCH(K233/OFFSET(内容释放节奏!$L$51,MATCH(E34,内容释放节奏!$K$52:$K$81,1),0),$W$210:$W$216,1),0)</f>
        <v>紫</v>
      </c>
      <c r="F233" s="19" t="str">
        <f ca="1">OFFSET($V$209,MATCH(L233/OFFSET(内容释放节奏!$L$51,MATCH(F34,内容释放节奏!$K$52:$K$81,1),0),$W$210:$W$216,1),0)</f>
        <v>紫</v>
      </c>
      <c r="G233" s="19" t="str">
        <f ca="1">OFFSET($V$209,MATCH(M233/OFFSET(内容释放节奏!$L$51,MATCH(G34,内容释放节奏!$K$52:$K$81,1),0),$W$210:$W$216,1),0)</f>
        <v>紫</v>
      </c>
      <c r="H233" s="19" t="str">
        <f ca="1">OFFSET($V$209,MATCH(N233/OFFSET(内容释放节奏!$L$51,MATCH(H34,内容释放节奏!$K$52:$K$81,1),0),$W$210:$W$216,1),0)</f>
        <v>橙</v>
      </c>
      <c r="J233" s="19">
        <v>24</v>
      </c>
      <c r="K233" s="19">
        <f t="shared" si="34"/>
        <v>3266</v>
      </c>
      <c r="L233" s="19">
        <f t="shared" si="35"/>
        <v>6548</v>
      </c>
      <c r="M233" s="19">
        <f t="shared" si="36"/>
        <v>6784</v>
      </c>
      <c r="N233" s="19">
        <f t="shared" si="37"/>
        <v>20384</v>
      </c>
      <c r="P233" s="19">
        <v>24</v>
      </c>
      <c r="Q233" s="19">
        <f ca="1">OFFSET(内容释放节奏!$L$51,MATCH(E34,内容释放节奏!$K$52:$K$81,1),0)</f>
        <v>30</v>
      </c>
      <c r="R233" s="19">
        <f ca="1">OFFSET(内容释放节奏!$L$51,MATCH(F34,内容释放节奏!$K$52:$K$81,1),0)</f>
        <v>30</v>
      </c>
      <c r="S233" s="19">
        <f ca="1">OFFSET(内容释放节奏!$L$51,MATCH(G34,内容释放节奏!$K$52:$K$81,1),0)</f>
        <v>30</v>
      </c>
      <c r="T233" s="19">
        <f ca="1">OFFSET(内容释放节奏!$L$51,MATCH(H34,内容释放节奏!$K$52:$K$81,1),0)</f>
        <v>30</v>
      </c>
    </row>
    <row r="234" outlineLevel="1" spans="4:20">
      <c r="D234" s="19">
        <v>25</v>
      </c>
      <c r="E234" s="19" t="str">
        <f ca="1">OFFSET($V$209,MATCH(K234/OFFSET(内容释放节奏!$L$51,MATCH(E35,内容释放节奏!$K$52:$K$81,1),0),$W$210:$W$216,1),0)</f>
        <v>紫</v>
      </c>
      <c r="F234" s="19" t="str">
        <f ca="1">OFFSET($V$209,MATCH(L234/OFFSET(内容释放节奏!$L$51,MATCH(F35,内容释放节奏!$K$52:$K$81,1),0),$W$210:$W$216,1),0)</f>
        <v>紫</v>
      </c>
      <c r="G234" s="19" t="str">
        <f ca="1">OFFSET($V$209,MATCH(M234/OFFSET(内容释放节奏!$L$51,MATCH(G35,内容释放节奏!$K$52:$K$81,1),0),$W$210:$W$216,1),0)</f>
        <v>紫</v>
      </c>
      <c r="H234" s="19" t="str">
        <f ca="1">OFFSET($V$209,MATCH(N234/OFFSET(内容释放节奏!$L$51,MATCH(H35,内容释放节奏!$K$52:$K$81,1),0),$W$210:$W$216,1),0)</f>
        <v>橙</v>
      </c>
      <c r="J234" s="19">
        <v>25</v>
      </c>
      <c r="K234" s="19">
        <f t="shared" si="34"/>
        <v>3399</v>
      </c>
      <c r="L234" s="19">
        <f t="shared" si="35"/>
        <v>6817</v>
      </c>
      <c r="M234" s="19">
        <f t="shared" si="36"/>
        <v>7062</v>
      </c>
      <c r="N234" s="19">
        <f t="shared" si="37"/>
        <v>21227</v>
      </c>
      <c r="P234" s="19">
        <v>25</v>
      </c>
      <c r="Q234" s="19">
        <f ca="1">OFFSET(内容释放节奏!$L$51,MATCH(E35,内容释放节奏!$K$52:$K$81,1),0)</f>
        <v>30</v>
      </c>
      <c r="R234" s="19">
        <f ca="1">OFFSET(内容释放节奏!$L$51,MATCH(F35,内容释放节奏!$K$52:$K$81,1),0)</f>
        <v>30</v>
      </c>
      <c r="S234" s="19">
        <f ca="1">OFFSET(内容释放节奏!$L$51,MATCH(G35,内容释放节奏!$K$52:$K$81,1),0)</f>
        <v>30</v>
      </c>
      <c r="T234" s="19">
        <f ca="1">OFFSET(内容释放节奏!$L$51,MATCH(H35,内容释放节奏!$K$52:$K$81,1),0)</f>
        <v>30</v>
      </c>
    </row>
    <row r="235" outlineLevel="1" spans="4:20">
      <c r="D235" s="19">
        <v>26</v>
      </c>
      <c r="E235" s="19" t="str">
        <f ca="1">OFFSET($V$209,MATCH(K235/OFFSET(内容释放节奏!$L$51,MATCH(E36,内容释放节奏!$K$52:$K$81,1),0),$W$210:$W$216,1),0)</f>
        <v>紫</v>
      </c>
      <c r="F235" s="19" t="str">
        <f ca="1">OFFSET($V$209,MATCH(L235/OFFSET(内容释放节奏!$L$51,MATCH(F36,内容释放节奏!$K$52:$K$81,1),0),$W$210:$W$216,1),0)</f>
        <v>紫</v>
      </c>
      <c r="G235" s="19" t="str">
        <f ca="1">OFFSET($V$209,MATCH(M235/OFFSET(内容释放节奏!$L$51,MATCH(G36,内容释放节奏!$K$52:$K$81,1),0),$W$210:$W$216,1),0)</f>
        <v>紫</v>
      </c>
      <c r="H235" s="19" t="str">
        <f ca="1">OFFSET($V$209,MATCH(N235/OFFSET(内容释放节奏!$L$51,MATCH(H36,内容释放节奏!$K$52:$K$81,1),0),$W$210:$W$216,1),0)</f>
        <v>橙</v>
      </c>
      <c r="J235" s="19">
        <v>26</v>
      </c>
      <c r="K235" s="19">
        <f t="shared" si="34"/>
        <v>3532</v>
      </c>
      <c r="L235" s="19">
        <f t="shared" si="35"/>
        <v>7086</v>
      </c>
      <c r="M235" s="19">
        <f t="shared" si="36"/>
        <v>7340</v>
      </c>
      <c r="N235" s="19">
        <f t="shared" si="37"/>
        <v>22070</v>
      </c>
      <c r="P235" s="19">
        <v>26</v>
      </c>
      <c r="Q235" s="19">
        <f ca="1">OFFSET(内容释放节奏!$L$51,MATCH(E36,内容释放节奏!$K$52:$K$81,1),0)</f>
        <v>30</v>
      </c>
      <c r="R235" s="19">
        <f ca="1">OFFSET(内容释放节奏!$L$51,MATCH(F36,内容释放节奏!$K$52:$K$81,1),0)</f>
        <v>30</v>
      </c>
      <c r="S235" s="19">
        <f ca="1">OFFSET(内容释放节奏!$L$51,MATCH(G36,内容释放节奏!$K$52:$K$81,1),0)</f>
        <v>30</v>
      </c>
      <c r="T235" s="19">
        <f ca="1">OFFSET(内容释放节奏!$L$51,MATCH(H36,内容释放节奏!$K$52:$K$81,1),0)</f>
        <v>30</v>
      </c>
    </row>
    <row r="236" outlineLevel="1" spans="4:20">
      <c r="D236" s="19">
        <v>27</v>
      </c>
      <c r="E236" s="19" t="str">
        <f ca="1">OFFSET($V$209,MATCH(K236/OFFSET(内容释放节奏!$L$51,MATCH(E37,内容释放节奏!$K$52:$K$81,1),0),$W$210:$W$216,1),0)</f>
        <v>紫</v>
      </c>
      <c r="F236" s="19" t="str">
        <f ca="1">OFFSET($V$209,MATCH(L236/OFFSET(内容释放节奏!$L$51,MATCH(F37,内容释放节奏!$K$52:$K$81,1),0),$W$210:$W$216,1),0)</f>
        <v>紫</v>
      </c>
      <c r="G236" s="19" t="str">
        <f ca="1">OFFSET($V$209,MATCH(M236/OFFSET(内容释放节奏!$L$51,MATCH(G37,内容释放节奏!$K$52:$K$81,1),0),$W$210:$W$216,1),0)</f>
        <v>紫</v>
      </c>
      <c r="H236" s="19" t="str">
        <f ca="1">OFFSET($V$209,MATCH(N236/OFFSET(内容释放节奏!$L$51,MATCH(H37,内容释放节奏!$K$52:$K$81,1),0),$W$210:$W$216,1),0)</f>
        <v>橙</v>
      </c>
      <c r="J236" s="19">
        <v>27</v>
      </c>
      <c r="K236" s="19">
        <f t="shared" si="34"/>
        <v>3665</v>
      </c>
      <c r="L236" s="19">
        <f t="shared" si="35"/>
        <v>7355</v>
      </c>
      <c r="M236" s="19">
        <f t="shared" si="36"/>
        <v>7618</v>
      </c>
      <c r="N236" s="19">
        <f t="shared" si="37"/>
        <v>22913</v>
      </c>
      <c r="P236" s="19">
        <v>27</v>
      </c>
      <c r="Q236" s="19">
        <f ca="1">OFFSET(内容释放节奏!$L$51,MATCH(E37,内容释放节奏!$K$52:$K$81,1),0)</f>
        <v>30</v>
      </c>
      <c r="R236" s="19">
        <f ca="1">OFFSET(内容释放节奏!$L$51,MATCH(F37,内容释放节奏!$K$52:$K$81,1),0)</f>
        <v>30</v>
      </c>
      <c r="S236" s="19">
        <f ca="1">OFFSET(内容释放节奏!$L$51,MATCH(G37,内容释放节奏!$K$52:$K$81,1),0)</f>
        <v>30</v>
      </c>
      <c r="T236" s="19">
        <f ca="1">OFFSET(内容释放节奏!$L$51,MATCH(H37,内容释放节奏!$K$52:$K$81,1),0)</f>
        <v>30</v>
      </c>
    </row>
    <row r="237" outlineLevel="1" spans="4:20">
      <c r="D237" s="19">
        <v>28</v>
      </c>
      <c r="E237" s="19" t="str">
        <f ca="1">OFFSET($V$209,MATCH(K237/OFFSET(内容释放节奏!$L$51,MATCH(E38,内容释放节奏!$K$52:$K$81,1),0),$W$210:$W$216,1),0)</f>
        <v>紫</v>
      </c>
      <c r="F237" s="19" t="str">
        <f ca="1">OFFSET($V$209,MATCH(L237/OFFSET(内容释放节奏!$L$51,MATCH(F38,内容释放节奏!$K$52:$K$81,1),0),$W$210:$W$216,1),0)</f>
        <v>紫</v>
      </c>
      <c r="G237" s="19" t="str">
        <f ca="1">OFFSET($V$209,MATCH(M237/OFFSET(内容释放节奏!$L$51,MATCH(G38,内容释放节奏!$K$52:$K$81,1),0),$W$210:$W$216,1),0)</f>
        <v>橙</v>
      </c>
      <c r="H237" s="19" t="str">
        <f ca="1">OFFSET($V$209,MATCH(N237/OFFSET(内容释放节奏!$L$51,MATCH(H38,内容释放节奏!$K$52:$K$81,1),0),$W$210:$W$216,1),0)</f>
        <v>橙</v>
      </c>
      <c r="J237" s="19">
        <v>28</v>
      </c>
      <c r="K237" s="19">
        <f t="shared" si="34"/>
        <v>3798</v>
      </c>
      <c r="L237" s="19">
        <f t="shared" si="35"/>
        <v>7624</v>
      </c>
      <c r="M237" s="19">
        <f t="shared" si="36"/>
        <v>7896</v>
      </c>
      <c r="N237" s="19">
        <f t="shared" si="37"/>
        <v>23758</v>
      </c>
      <c r="P237" s="19">
        <v>28</v>
      </c>
      <c r="Q237" s="19">
        <f ca="1">OFFSET(内容释放节奏!$L$51,MATCH(E38,内容释放节奏!$K$52:$K$81,1),0)</f>
        <v>30</v>
      </c>
      <c r="R237" s="19">
        <f ca="1">OFFSET(内容释放节奏!$L$51,MATCH(F38,内容释放节奏!$K$52:$K$81,1),0)</f>
        <v>30</v>
      </c>
      <c r="S237" s="19">
        <f ca="1">OFFSET(内容释放节奏!$L$51,MATCH(G38,内容释放节奏!$K$52:$K$81,1),0)</f>
        <v>30</v>
      </c>
      <c r="T237" s="19">
        <f ca="1">OFFSET(内容释放节奏!$L$51,MATCH(H38,内容释放节奏!$K$52:$K$81,1),0)</f>
        <v>30</v>
      </c>
    </row>
    <row r="238" outlineLevel="1" spans="4:20">
      <c r="D238" s="19">
        <v>29</v>
      </c>
      <c r="E238" s="19" t="str">
        <f ca="1">OFFSET($V$209,MATCH(K238/OFFSET(内容释放节奏!$L$51,MATCH(E39,内容释放节奏!$K$52:$K$81,1),0),$W$210:$W$216,1),0)</f>
        <v>紫</v>
      </c>
      <c r="F238" s="19" t="str">
        <f ca="1">OFFSET($V$209,MATCH(L238/OFFSET(内容释放节奏!$L$51,MATCH(F39,内容释放节奏!$K$52:$K$81,1),0),$W$210:$W$216,1),0)</f>
        <v>橙</v>
      </c>
      <c r="G238" s="19" t="str">
        <f ca="1">OFFSET($V$209,MATCH(M238/OFFSET(内容释放节奏!$L$51,MATCH(G39,内容释放节奏!$K$52:$K$81,1),0),$W$210:$W$216,1),0)</f>
        <v>橙</v>
      </c>
      <c r="H238" s="19" t="str">
        <f ca="1">OFFSET($V$209,MATCH(N238/OFFSET(内容释放节奏!$L$51,MATCH(H39,内容释放节奏!$K$52:$K$81,1),0),$W$210:$W$216,1),0)</f>
        <v>橙</v>
      </c>
      <c r="J238" s="19">
        <v>29</v>
      </c>
      <c r="K238" s="19">
        <f t="shared" si="34"/>
        <v>3931</v>
      </c>
      <c r="L238" s="19">
        <f t="shared" si="35"/>
        <v>7893</v>
      </c>
      <c r="M238" s="19">
        <f t="shared" si="36"/>
        <v>8174</v>
      </c>
      <c r="N238" s="19">
        <f t="shared" si="37"/>
        <v>24601</v>
      </c>
      <c r="P238" s="19">
        <v>29</v>
      </c>
      <c r="Q238" s="19">
        <f ca="1">OFFSET(内容释放节奏!$L$51,MATCH(E39,内容释放节奏!$K$52:$K$81,1),0)</f>
        <v>30</v>
      </c>
      <c r="R238" s="19">
        <f ca="1">OFFSET(内容释放节奏!$L$51,MATCH(F39,内容释放节奏!$K$52:$K$81,1),0)</f>
        <v>30</v>
      </c>
      <c r="S238" s="19">
        <f ca="1">OFFSET(内容释放节奏!$L$51,MATCH(G39,内容释放节奏!$K$52:$K$81,1),0)</f>
        <v>30</v>
      </c>
      <c r="T238" s="19">
        <f ca="1">OFFSET(内容释放节奏!$L$51,MATCH(H39,内容释放节奏!$K$52:$K$81,1),0)</f>
        <v>30</v>
      </c>
    </row>
    <row r="239" outlineLevel="1" spans="4:20">
      <c r="D239" s="19">
        <v>30</v>
      </c>
      <c r="E239" s="19" t="str">
        <f ca="1">OFFSET($V$209,MATCH(K239/OFFSET(内容释放节奏!$L$51,MATCH(E40,内容释放节奏!$K$52:$K$81,1),0),$W$210:$W$216,1),0)</f>
        <v>紫</v>
      </c>
      <c r="F239" s="19" t="str">
        <f ca="1">OFFSET($V$209,MATCH(L239/OFFSET(内容释放节奏!$L$51,MATCH(F40,内容释放节奏!$K$52:$K$81,1),0),$W$210:$W$216,1),0)</f>
        <v>橙</v>
      </c>
      <c r="G239" s="19" t="str">
        <f ca="1">OFFSET($V$209,MATCH(M239/OFFSET(内容释放节奏!$L$51,MATCH(G40,内容释放节奏!$K$52:$K$81,1),0),$W$210:$W$216,1),0)</f>
        <v>橙</v>
      </c>
      <c r="H239" s="19" t="str">
        <f ca="1">OFFSET($V$209,MATCH(N239/OFFSET(内容释放节奏!$L$51,MATCH(H40,内容释放节奏!$K$52:$K$81,1),0),$W$210:$W$216,1),0)</f>
        <v>橙</v>
      </c>
      <c r="J239" s="19">
        <v>30</v>
      </c>
      <c r="K239" s="19">
        <f t="shared" si="34"/>
        <v>4064</v>
      </c>
      <c r="L239" s="19">
        <f t="shared" si="35"/>
        <v>8162</v>
      </c>
      <c r="M239" s="19">
        <f t="shared" si="36"/>
        <v>8452</v>
      </c>
      <c r="N239" s="19">
        <f t="shared" si="37"/>
        <v>25444</v>
      </c>
      <c r="P239" s="19">
        <v>30</v>
      </c>
      <c r="Q239" s="19">
        <f ca="1">OFFSET(内容释放节奏!$L$51,MATCH(E40,内容释放节奏!$K$52:$K$81,1),0)</f>
        <v>30</v>
      </c>
      <c r="R239" s="19">
        <f ca="1">OFFSET(内容释放节奏!$L$51,MATCH(F40,内容释放节奏!$K$52:$K$81,1),0)</f>
        <v>30</v>
      </c>
      <c r="S239" s="19">
        <f ca="1">OFFSET(内容释放节奏!$L$51,MATCH(G40,内容释放节奏!$K$52:$K$81,1),0)</f>
        <v>30</v>
      </c>
      <c r="T239" s="19">
        <f ca="1">OFFSET(内容释放节奏!$L$51,MATCH(H40,内容释放节奏!$K$52:$K$81,1),0)</f>
        <v>30</v>
      </c>
    </row>
    <row r="240" outlineLevel="1" spans="4:20">
      <c r="D240" s="19">
        <v>31</v>
      </c>
      <c r="E240" s="19" t="str">
        <f ca="1">OFFSET($V$209,MATCH(K240/OFFSET(内容释放节奏!$L$51,MATCH(E41,内容释放节奏!$K$52:$K$81,1),0),$W$210:$W$216,1),0)</f>
        <v>紫</v>
      </c>
      <c r="F240" s="19" t="str">
        <f ca="1">OFFSET($V$209,MATCH(L240/OFFSET(内容释放节奏!$L$51,MATCH(F41,内容释放节奏!$K$52:$K$81,1),0),$W$210:$W$216,1),0)</f>
        <v>橙</v>
      </c>
      <c r="G240" s="19" t="str">
        <f ca="1">OFFSET($V$209,MATCH(M240/OFFSET(内容释放节奏!$L$51,MATCH(G41,内容释放节奏!$K$52:$K$81,1),0),$W$210:$W$216,1),0)</f>
        <v>橙</v>
      </c>
      <c r="H240" s="19" t="str">
        <f ca="1">OFFSET($V$209,MATCH(N240/OFFSET(内容释放节奏!$L$51,MATCH(H41,内容释放节奏!$K$52:$K$81,1),0),$W$210:$W$216,1),0)</f>
        <v>橙</v>
      </c>
      <c r="J240" s="19">
        <v>31</v>
      </c>
      <c r="K240" s="19">
        <f t="shared" si="34"/>
        <v>4197</v>
      </c>
      <c r="L240" s="19">
        <f t="shared" si="35"/>
        <v>8431</v>
      </c>
      <c r="M240" s="19">
        <f t="shared" si="36"/>
        <v>8730</v>
      </c>
      <c r="N240" s="19">
        <f t="shared" si="37"/>
        <v>26287</v>
      </c>
      <c r="P240" s="19">
        <v>31</v>
      </c>
      <c r="Q240" s="19">
        <f ca="1">OFFSET(内容释放节奏!$L$51,MATCH(E41,内容释放节奏!$K$52:$K$81,1),0)</f>
        <v>30</v>
      </c>
      <c r="R240" s="19">
        <f ca="1">OFFSET(内容释放节奏!$L$51,MATCH(F41,内容释放节奏!$K$52:$K$81,1),0)</f>
        <v>30</v>
      </c>
      <c r="S240" s="19">
        <f ca="1">OFFSET(内容释放节奏!$L$51,MATCH(G41,内容释放节奏!$K$52:$K$81,1),0)</f>
        <v>30</v>
      </c>
      <c r="T240" s="19">
        <f ca="1">OFFSET(内容释放节奏!$L$51,MATCH(H41,内容释放节奏!$K$52:$K$81,1),0)</f>
        <v>30</v>
      </c>
    </row>
    <row r="241" outlineLevel="1" spans="4:20">
      <c r="D241" s="19">
        <v>32</v>
      </c>
      <c r="E241" s="19" t="str">
        <f ca="1">OFFSET($V$209,MATCH(K241/OFFSET(内容释放节奏!$L$51,MATCH(E42,内容释放节奏!$K$52:$K$81,1),0),$W$210:$W$216,1),0)</f>
        <v>紫</v>
      </c>
      <c r="F241" s="19" t="str">
        <f ca="1">OFFSET($V$209,MATCH(L241/OFFSET(内容释放节奏!$L$51,MATCH(F42,内容释放节奏!$K$52:$K$81,1),0),$W$210:$W$216,1),0)</f>
        <v>橙</v>
      </c>
      <c r="G241" s="19" t="str">
        <f ca="1">OFFSET($V$209,MATCH(M241/OFFSET(内容释放节奏!$L$51,MATCH(G42,内容释放节奏!$K$52:$K$81,1),0),$W$210:$W$216,1),0)</f>
        <v>橙</v>
      </c>
      <c r="H241" s="19" t="str">
        <f ca="1">OFFSET($V$209,MATCH(N241/OFFSET(内容释放节奏!$L$51,MATCH(H42,内容释放节奏!$K$52:$K$81,1),0),$W$210:$W$216,1),0)</f>
        <v>橙</v>
      </c>
      <c r="J241" s="19">
        <v>32</v>
      </c>
      <c r="K241" s="19">
        <f t="shared" si="34"/>
        <v>4330</v>
      </c>
      <c r="L241" s="19">
        <f t="shared" si="35"/>
        <v>8700</v>
      </c>
      <c r="M241" s="19">
        <f t="shared" si="36"/>
        <v>9008</v>
      </c>
      <c r="N241" s="19">
        <f t="shared" si="37"/>
        <v>27132</v>
      </c>
      <c r="P241" s="19">
        <v>32</v>
      </c>
      <c r="Q241" s="19">
        <f ca="1">OFFSET(内容释放节奏!$L$51,MATCH(E42,内容释放节奏!$K$52:$K$81,1),0)</f>
        <v>30</v>
      </c>
      <c r="R241" s="19">
        <f ca="1">OFFSET(内容释放节奏!$L$51,MATCH(F42,内容释放节奏!$K$52:$K$81,1),0)</f>
        <v>30</v>
      </c>
      <c r="S241" s="19">
        <f ca="1">OFFSET(内容释放节奏!$L$51,MATCH(G42,内容释放节奏!$K$52:$K$81,1),0)</f>
        <v>30</v>
      </c>
      <c r="T241" s="19">
        <f ca="1">OFFSET(内容释放节奏!$L$51,MATCH(H42,内容释放节奏!$K$52:$K$81,1),0)</f>
        <v>30</v>
      </c>
    </row>
    <row r="242" outlineLevel="1" spans="4:20">
      <c r="D242" s="19">
        <v>33</v>
      </c>
      <c r="E242" s="19" t="str">
        <f ca="1">OFFSET($V$209,MATCH(K242/OFFSET(内容释放节奏!$L$51,MATCH(E43,内容释放节奏!$K$52:$K$81,1),0),$W$210:$W$216,1),0)</f>
        <v>紫</v>
      </c>
      <c r="F242" s="19" t="str">
        <f ca="1">OFFSET($V$209,MATCH(L242/OFFSET(内容释放节奏!$L$51,MATCH(F43,内容释放节奏!$K$52:$K$81,1),0),$W$210:$W$216,1),0)</f>
        <v>橙</v>
      </c>
      <c r="G242" s="19" t="str">
        <f ca="1">OFFSET($V$209,MATCH(M242/OFFSET(内容释放节奏!$L$51,MATCH(G43,内容释放节奏!$K$52:$K$81,1),0),$W$210:$W$216,1),0)</f>
        <v>橙</v>
      </c>
      <c r="H242" s="19" t="str">
        <f ca="1">OFFSET($V$209,MATCH(N242/OFFSET(内容释放节奏!$L$51,MATCH(H43,内容释放节奏!$K$52:$K$81,1),0),$W$210:$W$216,1),0)</f>
        <v>橙</v>
      </c>
      <c r="J242" s="19">
        <v>33</v>
      </c>
      <c r="K242" s="19">
        <f t="shared" si="34"/>
        <v>4463</v>
      </c>
      <c r="L242" s="19">
        <f t="shared" si="35"/>
        <v>8969</v>
      </c>
      <c r="M242" s="19">
        <f t="shared" si="36"/>
        <v>9286</v>
      </c>
      <c r="N242" s="19">
        <f t="shared" si="37"/>
        <v>27975</v>
      </c>
      <c r="P242" s="19">
        <v>33</v>
      </c>
      <c r="Q242" s="19">
        <f ca="1">OFFSET(内容释放节奏!$L$51,MATCH(E43,内容释放节奏!$K$52:$K$81,1),0)</f>
        <v>30</v>
      </c>
      <c r="R242" s="19">
        <f ca="1">OFFSET(内容释放节奏!$L$51,MATCH(F43,内容释放节奏!$K$52:$K$81,1),0)</f>
        <v>30</v>
      </c>
      <c r="S242" s="19">
        <f ca="1">OFFSET(内容释放节奏!$L$51,MATCH(G43,内容释放节奏!$K$52:$K$81,1),0)</f>
        <v>30</v>
      </c>
      <c r="T242" s="19">
        <f ca="1">OFFSET(内容释放节奏!$L$51,MATCH(H43,内容释放节奏!$K$52:$K$81,1),0)</f>
        <v>30</v>
      </c>
    </row>
    <row r="243" outlineLevel="1" spans="4:20">
      <c r="D243" s="19">
        <v>34</v>
      </c>
      <c r="E243" s="19" t="str">
        <f ca="1">OFFSET($V$209,MATCH(K243/OFFSET(内容释放节奏!$L$51,MATCH(E44,内容释放节奏!$K$52:$K$81,1),0),$W$210:$W$216,1),0)</f>
        <v>紫</v>
      </c>
      <c r="F243" s="19" t="str">
        <f ca="1">OFFSET($V$209,MATCH(L243/OFFSET(内容释放节奏!$L$51,MATCH(F44,内容释放节奏!$K$52:$K$81,1),0),$W$210:$W$216,1),0)</f>
        <v>橙</v>
      </c>
      <c r="G243" s="19" t="str">
        <f ca="1">OFFSET($V$209,MATCH(M243/OFFSET(内容释放节奏!$L$51,MATCH(G44,内容释放节奏!$K$52:$K$81,1),0),$W$210:$W$216,1),0)</f>
        <v>橙</v>
      </c>
      <c r="H243" s="19" t="str">
        <f ca="1">OFFSET($V$209,MATCH(N243/OFFSET(内容释放节奏!$L$51,MATCH(H44,内容释放节奏!$K$52:$K$81,1),0),$W$210:$W$216,1),0)</f>
        <v>橙</v>
      </c>
      <c r="J243" s="19">
        <v>34</v>
      </c>
      <c r="K243" s="19">
        <f t="shared" ref="K243:K269" si="39">K$208*$J243+L44*2</f>
        <v>4596</v>
      </c>
      <c r="L243" s="19">
        <f t="shared" ref="L243:L269" si="40">L$208*$J243+M44*2</f>
        <v>9238</v>
      </c>
      <c r="M243" s="19">
        <f t="shared" ref="M243:M269" si="41">M$208*$J243+N44*2</f>
        <v>9564</v>
      </c>
      <c r="N243" s="19">
        <f t="shared" ref="N243:N269" si="42">N$208*$J243+O44*2</f>
        <v>28818</v>
      </c>
      <c r="P243" s="19">
        <v>34</v>
      </c>
      <c r="Q243" s="19">
        <f ca="1">OFFSET(内容释放节奏!$L$51,MATCH(E44,内容释放节奏!$K$52:$K$81,1),0)</f>
        <v>30</v>
      </c>
      <c r="R243" s="19">
        <f ca="1">OFFSET(内容释放节奏!$L$51,MATCH(F44,内容释放节奏!$K$52:$K$81,1),0)</f>
        <v>30</v>
      </c>
      <c r="S243" s="19">
        <f ca="1">OFFSET(内容释放节奏!$L$51,MATCH(G44,内容释放节奏!$K$52:$K$81,1),0)</f>
        <v>30</v>
      </c>
      <c r="T243" s="19">
        <f ca="1">OFFSET(内容释放节奏!$L$51,MATCH(H44,内容释放节奏!$K$52:$K$81,1),0)</f>
        <v>30</v>
      </c>
    </row>
    <row r="244" outlineLevel="1" spans="4:20">
      <c r="D244" s="19">
        <v>35</v>
      </c>
      <c r="E244" s="19" t="str">
        <f ca="1">OFFSET($V$209,MATCH(K244/OFFSET(内容释放节奏!$L$51,MATCH(E45,内容释放节奏!$K$52:$K$81,1),0),$W$210:$W$216,1),0)</f>
        <v>紫</v>
      </c>
      <c r="F244" s="19" t="str">
        <f ca="1">OFFSET($V$209,MATCH(L244/OFFSET(内容释放节奏!$L$51,MATCH(F45,内容释放节奏!$K$52:$K$81,1),0),$W$210:$W$216,1),0)</f>
        <v>橙</v>
      </c>
      <c r="G244" s="19" t="str">
        <f ca="1">OFFSET($V$209,MATCH(M244/OFFSET(内容释放节奏!$L$51,MATCH(G45,内容释放节奏!$K$52:$K$81,1),0),$W$210:$W$216,1),0)</f>
        <v>橙</v>
      </c>
      <c r="H244" s="19" t="str">
        <f ca="1">OFFSET($V$209,MATCH(N244/OFFSET(内容释放节奏!$L$51,MATCH(H45,内容释放节奏!$K$52:$K$81,1),0),$W$210:$W$216,1),0)</f>
        <v>橙</v>
      </c>
      <c r="J244" s="19">
        <v>35</v>
      </c>
      <c r="K244" s="19">
        <f t="shared" si="39"/>
        <v>4729</v>
      </c>
      <c r="L244" s="19">
        <f t="shared" si="40"/>
        <v>9507</v>
      </c>
      <c r="M244" s="19">
        <f t="shared" si="41"/>
        <v>9842</v>
      </c>
      <c r="N244" s="19">
        <f t="shared" si="42"/>
        <v>29661</v>
      </c>
      <c r="P244" s="19">
        <v>35</v>
      </c>
      <c r="Q244" s="19">
        <f ca="1">OFFSET(内容释放节奏!$L$51,MATCH(E45,内容释放节奏!$K$52:$K$81,1),0)</f>
        <v>30</v>
      </c>
      <c r="R244" s="19">
        <f ca="1">OFFSET(内容释放节奏!$L$51,MATCH(F45,内容释放节奏!$K$52:$K$81,1),0)</f>
        <v>30</v>
      </c>
      <c r="S244" s="19">
        <f ca="1">OFFSET(内容释放节奏!$L$51,MATCH(G45,内容释放节奏!$K$52:$K$81,1),0)</f>
        <v>30</v>
      </c>
      <c r="T244" s="19">
        <f ca="1">OFFSET(内容释放节奏!$L$51,MATCH(H45,内容释放节奏!$K$52:$K$81,1),0)</f>
        <v>30</v>
      </c>
    </row>
    <row r="245" outlineLevel="1" spans="4:20">
      <c r="D245" s="19">
        <v>36</v>
      </c>
      <c r="E245" s="19" t="str">
        <f ca="1">OFFSET($V$209,MATCH(K245/OFFSET(内容释放节奏!$L$51,MATCH(E46,内容释放节奏!$K$52:$K$81,1),0),$W$210:$W$216,1),0)</f>
        <v>紫</v>
      </c>
      <c r="F245" s="19" t="str">
        <f ca="1">OFFSET($V$209,MATCH(L245/OFFSET(内容释放节奏!$L$51,MATCH(F46,内容释放节奏!$K$52:$K$81,1),0),$W$210:$W$216,1),0)</f>
        <v>橙</v>
      </c>
      <c r="G245" s="19" t="str">
        <f ca="1">OFFSET($V$209,MATCH(M245/OFFSET(内容释放节奏!$L$51,MATCH(G46,内容释放节奏!$K$52:$K$81,1),0),$W$210:$W$216,1),0)</f>
        <v>橙</v>
      </c>
      <c r="H245" s="19" t="str">
        <f ca="1">OFFSET($V$209,MATCH(N245/OFFSET(内容释放节奏!$L$51,MATCH(H46,内容释放节奏!$K$52:$K$81,1),0),$W$210:$W$216,1),0)</f>
        <v>橙</v>
      </c>
      <c r="J245" s="19">
        <v>36</v>
      </c>
      <c r="K245" s="19">
        <f t="shared" si="39"/>
        <v>4862</v>
      </c>
      <c r="L245" s="19">
        <f t="shared" si="40"/>
        <v>9776</v>
      </c>
      <c r="M245" s="19">
        <f t="shared" si="41"/>
        <v>10120</v>
      </c>
      <c r="N245" s="19">
        <f t="shared" si="42"/>
        <v>30506</v>
      </c>
      <c r="P245" s="19">
        <v>36</v>
      </c>
      <c r="Q245" s="19">
        <f ca="1">OFFSET(内容释放节奏!$L$51,MATCH(E46,内容释放节奏!$K$52:$K$81,1),0)</f>
        <v>30</v>
      </c>
      <c r="R245" s="19">
        <f ca="1">OFFSET(内容释放节奏!$L$51,MATCH(F46,内容释放节奏!$K$52:$K$81,1),0)</f>
        <v>30</v>
      </c>
      <c r="S245" s="19">
        <f ca="1">OFFSET(内容释放节奏!$L$51,MATCH(G46,内容释放节奏!$K$52:$K$81,1),0)</f>
        <v>30</v>
      </c>
      <c r="T245" s="19">
        <f ca="1">OFFSET(内容释放节奏!$L$51,MATCH(H46,内容释放节奏!$K$52:$K$81,1),0)</f>
        <v>30</v>
      </c>
    </row>
    <row r="246" outlineLevel="1" spans="4:20">
      <c r="D246" s="19">
        <v>37</v>
      </c>
      <c r="E246" s="19" t="str">
        <f ca="1">OFFSET($V$209,MATCH(K246/OFFSET(内容释放节奏!$L$51,MATCH(E47,内容释放节奏!$K$52:$K$81,1),0),$W$210:$W$216,1),0)</f>
        <v>紫</v>
      </c>
      <c r="F246" s="19" t="str">
        <f ca="1">OFFSET($V$209,MATCH(L246/OFFSET(内容释放节奏!$L$51,MATCH(F47,内容释放节奏!$K$52:$K$81,1),0),$W$210:$W$216,1),0)</f>
        <v>橙</v>
      </c>
      <c r="G246" s="19" t="str">
        <f ca="1">OFFSET($V$209,MATCH(M246/OFFSET(内容释放节奏!$L$51,MATCH(G47,内容释放节奏!$K$52:$K$81,1),0),$W$210:$W$216,1),0)</f>
        <v>橙</v>
      </c>
      <c r="H246" s="19" t="str">
        <f ca="1">OFFSET($V$209,MATCH(N246/OFFSET(内容释放节奏!$L$51,MATCH(H47,内容释放节奏!$K$52:$K$81,1),0),$W$210:$W$216,1),0)</f>
        <v>红</v>
      </c>
      <c r="J246" s="19">
        <v>37</v>
      </c>
      <c r="K246" s="19">
        <f t="shared" si="39"/>
        <v>4995</v>
      </c>
      <c r="L246" s="19">
        <f t="shared" si="40"/>
        <v>10045</v>
      </c>
      <c r="M246" s="19">
        <f t="shared" si="41"/>
        <v>10398</v>
      </c>
      <c r="N246" s="19">
        <f t="shared" si="42"/>
        <v>31349</v>
      </c>
      <c r="P246" s="19">
        <v>37</v>
      </c>
      <c r="Q246" s="19">
        <f ca="1">OFFSET(内容释放节奏!$L$51,MATCH(E47,内容释放节奏!$K$52:$K$81,1),0)</f>
        <v>30</v>
      </c>
      <c r="R246" s="19">
        <f ca="1">OFFSET(内容释放节奏!$L$51,MATCH(F47,内容释放节奏!$K$52:$K$81,1),0)</f>
        <v>30</v>
      </c>
      <c r="S246" s="19">
        <f ca="1">OFFSET(内容释放节奏!$L$51,MATCH(G47,内容释放节奏!$K$52:$K$81,1),0)</f>
        <v>30</v>
      </c>
      <c r="T246" s="19">
        <f ca="1">OFFSET(内容释放节奏!$L$51,MATCH(H47,内容释放节奏!$K$52:$K$81,1),0)</f>
        <v>30</v>
      </c>
    </row>
    <row r="247" outlineLevel="1" spans="4:20">
      <c r="D247" s="19">
        <v>38</v>
      </c>
      <c r="E247" s="19" t="str">
        <f ca="1">OFFSET($V$209,MATCH(K247/OFFSET(内容释放节奏!$L$51,MATCH(E48,内容释放节奏!$K$52:$K$81,1),0),$W$210:$W$216,1),0)</f>
        <v>紫</v>
      </c>
      <c r="F247" s="19" t="str">
        <f ca="1">OFFSET($V$209,MATCH(L247/OFFSET(内容释放节奏!$L$51,MATCH(F48,内容释放节奏!$K$52:$K$81,1),0),$W$210:$W$216,1),0)</f>
        <v>橙</v>
      </c>
      <c r="G247" s="19" t="str">
        <f ca="1">OFFSET($V$209,MATCH(M247/OFFSET(内容释放节奏!$L$51,MATCH(G48,内容释放节奏!$K$52:$K$81,1),0),$W$210:$W$216,1),0)</f>
        <v>橙</v>
      </c>
      <c r="H247" s="19" t="str">
        <f ca="1">OFFSET($V$209,MATCH(N247/OFFSET(内容释放节奏!$L$51,MATCH(H48,内容释放节奏!$K$52:$K$81,1),0),$W$210:$W$216,1),0)</f>
        <v>红</v>
      </c>
      <c r="J247" s="19">
        <v>38</v>
      </c>
      <c r="K247" s="19">
        <f t="shared" si="39"/>
        <v>5128</v>
      </c>
      <c r="L247" s="19">
        <f t="shared" si="40"/>
        <v>10314</v>
      </c>
      <c r="M247" s="19">
        <f t="shared" si="41"/>
        <v>10676</v>
      </c>
      <c r="N247" s="19">
        <f t="shared" si="42"/>
        <v>32192</v>
      </c>
      <c r="P247" s="19">
        <v>38</v>
      </c>
      <c r="Q247" s="19">
        <f ca="1">OFFSET(内容释放节奏!$L$51,MATCH(E48,内容释放节奏!$K$52:$K$81,1),0)</f>
        <v>30</v>
      </c>
      <c r="R247" s="19">
        <f ca="1">OFFSET(内容释放节奏!$L$51,MATCH(F48,内容释放节奏!$K$52:$K$81,1),0)</f>
        <v>30</v>
      </c>
      <c r="S247" s="19">
        <f ca="1">OFFSET(内容释放节奏!$L$51,MATCH(G48,内容释放节奏!$K$52:$K$81,1),0)</f>
        <v>30</v>
      </c>
      <c r="T247" s="19">
        <f ca="1">OFFSET(内容释放节奏!$L$51,MATCH(H48,内容释放节奏!$K$52:$K$81,1),0)</f>
        <v>30</v>
      </c>
    </row>
    <row r="248" outlineLevel="1" spans="4:20">
      <c r="D248" s="19">
        <v>39</v>
      </c>
      <c r="E248" s="19" t="str">
        <f ca="1">OFFSET($V$209,MATCH(K248/OFFSET(内容释放节奏!$L$51,MATCH(E49,内容释放节奏!$K$52:$K$81,1),0),$W$210:$W$216,1),0)</f>
        <v>紫</v>
      </c>
      <c r="F248" s="19" t="str">
        <f ca="1">OFFSET($V$209,MATCH(L248/OFFSET(内容释放节奏!$L$51,MATCH(F49,内容释放节奏!$K$52:$K$81,1),0),$W$210:$W$216,1),0)</f>
        <v>橙</v>
      </c>
      <c r="G248" s="19" t="str">
        <f ca="1">OFFSET($V$209,MATCH(M248/OFFSET(内容释放节奏!$L$51,MATCH(G49,内容释放节奏!$K$52:$K$81,1),0),$W$210:$W$216,1),0)</f>
        <v>橙</v>
      </c>
      <c r="H248" s="19" t="str">
        <f ca="1">OFFSET($V$209,MATCH(N248/OFFSET(内容释放节奏!$L$51,MATCH(H49,内容释放节奏!$K$52:$K$81,1),0),$W$210:$W$216,1),0)</f>
        <v>红</v>
      </c>
      <c r="J248" s="19">
        <v>39</v>
      </c>
      <c r="K248" s="19">
        <f t="shared" si="39"/>
        <v>5261</v>
      </c>
      <c r="L248" s="19">
        <f t="shared" si="40"/>
        <v>10583</v>
      </c>
      <c r="M248" s="19">
        <f t="shared" si="41"/>
        <v>10954</v>
      </c>
      <c r="N248" s="19">
        <f t="shared" si="42"/>
        <v>33035</v>
      </c>
      <c r="P248" s="19">
        <v>39</v>
      </c>
      <c r="Q248" s="19">
        <f ca="1">OFFSET(内容释放节奏!$L$51,MATCH(E49,内容释放节奏!$K$52:$K$81,1),0)</f>
        <v>30</v>
      </c>
      <c r="R248" s="19">
        <f ca="1">OFFSET(内容释放节奏!$L$51,MATCH(F49,内容释放节奏!$K$52:$K$81,1),0)</f>
        <v>30</v>
      </c>
      <c r="S248" s="19">
        <f ca="1">OFFSET(内容释放节奏!$L$51,MATCH(G49,内容释放节奏!$K$52:$K$81,1),0)</f>
        <v>30</v>
      </c>
      <c r="T248" s="19">
        <f ca="1">OFFSET(内容释放节奏!$L$51,MATCH(H49,内容释放节奏!$K$52:$K$81,1),0)</f>
        <v>30</v>
      </c>
    </row>
    <row r="249" outlineLevel="1" spans="4:20">
      <c r="D249" s="19">
        <v>40</v>
      </c>
      <c r="E249" s="19" t="str">
        <f ca="1">OFFSET($V$209,MATCH(K249/OFFSET(内容释放节奏!$L$51,MATCH(E50,内容释放节奏!$K$52:$K$81,1),0),$W$210:$W$216,1),0)</f>
        <v>紫</v>
      </c>
      <c r="F249" s="19" t="str">
        <f ca="1">OFFSET($V$209,MATCH(L249/OFFSET(内容释放节奏!$L$51,MATCH(F50,内容释放节奏!$K$52:$K$81,1),0),$W$210:$W$216,1),0)</f>
        <v>橙</v>
      </c>
      <c r="G249" s="19" t="str">
        <f ca="1">OFFSET($V$209,MATCH(M249/OFFSET(内容释放节奏!$L$51,MATCH(G50,内容释放节奏!$K$52:$K$81,1),0),$W$210:$W$216,1),0)</f>
        <v>橙</v>
      </c>
      <c r="H249" s="19" t="str">
        <f ca="1">OFFSET($V$209,MATCH(N249/OFFSET(内容释放节奏!$L$51,MATCH(H50,内容释放节奏!$K$52:$K$81,1),0),$W$210:$W$216,1),0)</f>
        <v>红</v>
      </c>
      <c r="J249" s="19">
        <v>40</v>
      </c>
      <c r="K249" s="19">
        <f t="shared" si="39"/>
        <v>5394</v>
      </c>
      <c r="L249" s="19">
        <f t="shared" si="40"/>
        <v>10852</v>
      </c>
      <c r="M249" s="19">
        <f t="shared" si="41"/>
        <v>11232</v>
      </c>
      <c r="N249" s="19">
        <f t="shared" si="42"/>
        <v>33880</v>
      </c>
      <c r="P249" s="19">
        <v>40</v>
      </c>
      <c r="Q249" s="19">
        <f ca="1">OFFSET(内容释放节奏!$L$51,MATCH(E50,内容释放节奏!$K$52:$K$81,1),0)</f>
        <v>30</v>
      </c>
      <c r="R249" s="19">
        <f ca="1">OFFSET(内容释放节奏!$L$51,MATCH(F50,内容释放节奏!$K$52:$K$81,1),0)</f>
        <v>30</v>
      </c>
      <c r="S249" s="19">
        <f ca="1">OFFSET(内容释放节奏!$L$51,MATCH(G50,内容释放节奏!$K$52:$K$81,1),0)</f>
        <v>30</v>
      </c>
      <c r="T249" s="19">
        <f ca="1">OFFSET(内容释放节奏!$L$51,MATCH(H50,内容释放节奏!$K$52:$K$81,1),0)</f>
        <v>30</v>
      </c>
    </row>
    <row r="250" outlineLevel="1" spans="4:20">
      <c r="D250" s="19">
        <v>41</v>
      </c>
      <c r="E250" s="19" t="str">
        <f ca="1">OFFSET($V$209,MATCH(K250/OFFSET(内容释放节奏!$L$51,MATCH(E51,内容释放节奏!$K$52:$K$81,1),0),$W$210:$W$216,1),0)</f>
        <v>紫</v>
      </c>
      <c r="F250" s="19" t="str">
        <f ca="1">OFFSET($V$209,MATCH(L250/OFFSET(内容释放节奏!$L$51,MATCH(F51,内容释放节奏!$K$52:$K$81,1),0),$W$210:$W$216,1),0)</f>
        <v>橙</v>
      </c>
      <c r="G250" s="19" t="str">
        <f ca="1">OFFSET($V$209,MATCH(M250/OFFSET(内容释放节奏!$L$51,MATCH(G51,内容释放节奏!$K$52:$K$81,1),0),$W$210:$W$216,1),0)</f>
        <v>橙</v>
      </c>
      <c r="H250" s="19" t="str">
        <f ca="1">OFFSET($V$209,MATCH(N250/OFFSET(内容释放节奏!$L$51,MATCH(H51,内容释放节奏!$K$52:$K$81,1),0),$W$210:$W$216,1),0)</f>
        <v>红</v>
      </c>
      <c r="J250" s="19">
        <v>41</v>
      </c>
      <c r="K250" s="19">
        <f t="shared" si="39"/>
        <v>5525</v>
      </c>
      <c r="L250" s="19">
        <f t="shared" si="40"/>
        <v>11121</v>
      </c>
      <c r="M250" s="19">
        <f t="shared" si="41"/>
        <v>11510</v>
      </c>
      <c r="N250" s="19">
        <f t="shared" si="42"/>
        <v>34723</v>
      </c>
      <c r="P250" s="19">
        <v>41</v>
      </c>
      <c r="Q250" s="19">
        <f ca="1">OFFSET(内容释放节奏!$L$51,MATCH(E51,内容释放节奏!$K$52:$K$81,1),0)</f>
        <v>30</v>
      </c>
      <c r="R250" s="19">
        <f ca="1">OFFSET(内容释放节奏!$L$51,MATCH(F51,内容释放节奏!$K$52:$K$81,1),0)</f>
        <v>30</v>
      </c>
      <c r="S250" s="19">
        <f ca="1">OFFSET(内容释放节奏!$L$51,MATCH(G51,内容释放节奏!$K$52:$K$81,1),0)</f>
        <v>30</v>
      </c>
      <c r="T250" s="19">
        <f ca="1">OFFSET(内容释放节奏!$L$51,MATCH(H51,内容释放节奏!$K$52:$K$81,1),0)</f>
        <v>30</v>
      </c>
    </row>
    <row r="251" outlineLevel="1" spans="4:20">
      <c r="D251" s="19">
        <v>42</v>
      </c>
      <c r="E251" s="19" t="str">
        <f ca="1">OFFSET($V$209,MATCH(K251/OFFSET(内容释放节奏!$L$51,MATCH(E52,内容释放节奏!$K$52:$K$81,1),0),$W$210:$W$216,1),0)</f>
        <v>紫</v>
      </c>
      <c r="F251" s="19" t="str">
        <f ca="1">OFFSET($V$209,MATCH(L251/OFFSET(内容释放节奏!$L$51,MATCH(F52,内容释放节奏!$K$52:$K$81,1),0),$W$210:$W$216,1),0)</f>
        <v>橙</v>
      </c>
      <c r="G251" s="19" t="str">
        <f ca="1">OFFSET($V$209,MATCH(M251/OFFSET(内容释放节奏!$L$51,MATCH(G52,内容释放节奏!$K$52:$K$81,1),0),$W$210:$W$216,1),0)</f>
        <v>橙</v>
      </c>
      <c r="H251" s="19" t="str">
        <f ca="1">OFFSET($V$209,MATCH(N251/OFFSET(内容释放节奏!$L$51,MATCH(H52,内容释放节奏!$K$52:$K$81,1),0),$W$210:$W$216,1),0)</f>
        <v>红</v>
      </c>
      <c r="J251" s="19">
        <v>42</v>
      </c>
      <c r="K251" s="19">
        <f t="shared" si="39"/>
        <v>5658</v>
      </c>
      <c r="L251" s="19">
        <f t="shared" si="40"/>
        <v>11390</v>
      </c>
      <c r="M251" s="19">
        <f t="shared" si="41"/>
        <v>11788</v>
      </c>
      <c r="N251" s="19">
        <f t="shared" si="42"/>
        <v>35566</v>
      </c>
      <c r="P251" s="19">
        <v>42</v>
      </c>
      <c r="Q251" s="19">
        <f ca="1">OFFSET(内容释放节奏!$L$51,MATCH(E52,内容释放节奏!$K$52:$K$81,1),0)</f>
        <v>30</v>
      </c>
      <c r="R251" s="19">
        <f ca="1">OFFSET(内容释放节奏!$L$51,MATCH(F52,内容释放节奏!$K$52:$K$81,1),0)</f>
        <v>30</v>
      </c>
      <c r="S251" s="19">
        <f ca="1">OFFSET(内容释放节奏!$L$51,MATCH(G52,内容释放节奏!$K$52:$K$81,1),0)</f>
        <v>30</v>
      </c>
      <c r="T251" s="19">
        <f ca="1">OFFSET(内容释放节奏!$L$51,MATCH(H52,内容释放节奏!$K$52:$K$81,1),0)</f>
        <v>30</v>
      </c>
    </row>
    <row r="252" outlineLevel="1" spans="4:20">
      <c r="D252" s="19">
        <v>43</v>
      </c>
      <c r="E252" s="19" t="str">
        <f ca="1">OFFSET($V$209,MATCH(K252/OFFSET(内容释放节奏!$L$51,MATCH(E53,内容释放节奏!$K$52:$K$81,1),0),$W$210:$W$216,1),0)</f>
        <v>紫</v>
      </c>
      <c r="F252" s="19" t="str">
        <f ca="1">OFFSET($V$209,MATCH(L252/OFFSET(内容释放节奏!$L$51,MATCH(F53,内容释放节奏!$K$52:$K$81,1),0),$W$210:$W$216,1),0)</f>
        <v>橙</v>
      </c>
      <c r="G252" s="19" t="str">
        <f ca="1">OFFSET($V$209,MATCH(M252/OFFSET(内容释放节奏!$L$51,MATCH(G53,内容释放节奏!$K$52:$K$81,1),0),$W$210:$W$216,1),0)</f>
        <v>橙</v>
      </c>
      <c r="H252" s="19" t="str">
        <f ca="1">OFFSET($V$209,MATCH(N252/OFFSET(内容释放节奏!$L$51,MATCH(H53,内容释放节奏!$K$52:$K$81,1),0),$W$210:$W$216,1),0)</f>
        <v>红</v>
      </c>
      <c r="J252" s="19">
        <v>43</v>
      </c>
      <c r="K252" s="19">
        <f t="shared" si="39"/>
        <v>5789</v>
      </c>
      <c r="L252" s="19">
        <f t="shared" si="40"/>
        <v>11657</v>
      </c>
      <c r="M252" s="19">
        <f t="shared" si="41"/>
        <v>12066</v>
      </c>
      <c r="N252" s="19">
        <f t="shared" si="42"/>
        <v>36409</v>
      </c>
      <c r="P252" s="19">
        <v>43</v>
      </c>
      <c r="Q252" s="19">
        <f ca="1">OFFSET(内容释放节奏!$L$51,MATCH(E53,内容释放节奏!$K$52:$K$81,1),0)</f>
        <v>30</v>
      </c>
      <c r="R252" s="19">
        <f ca="1">OFFSET(内容释放节奏!$L$51,MATCH(F53,内容释放节奏!$K$52:$K$81,1),0)</f>
        <v>30</v>
      </c>
      <c r="S252" s="19">
        <f ca="1">OFFSET(内容释放节奏!$L$51,MATCH(G53,内容释放节奏!$K$52:$K$81,1),0)</f>
        <v>30</v>
      </c>
      <c r="T252" s="19">
        <f ca="1">OFFSET(内容释放节奏!$L$51,MATCH(H53,内容释放节奏!$K$52:$K$81,1),0)</f>
        <v>30</v>
      </c>
    </row>
    <row r="253" outlineLevel="1" spans="4:20">
      <c r="D253" s="19">
        <v>44</v>
      </c>
      <c r="E253" s="19" t="str">
        <f ca="1">OFFSET($V$209,MATCH(K253/OFFSET(内容释放节奏!$L$51,MATCH(E54,内容释放节奏!$K$52:$K$81,1),0),$W$210:$W$216,1),0)</f>
        <v>紫</v>
      </c>
      <c r="F253" s="19" t="str">
        <f ca="1">OFFSET($V$209,MATCH(L253/OFFSET(内容释放节奏!$L$51,MATCH(F54,内容释放节奏!$K$52:$K$81,1),0),$W$210:$W$216,1),0)</f>
        <v>橙</v>
      </c>
      <c r="G253" s="19" t="str">
        <f ca="1">OFFSET($V$209,MATCH(M253/OFFSET(内容释放节奏!$L$51,MATCH(G54,内容释放节奏!$K$52:$K$81,1),0),$W$210:$W$216,1),0)</f>
        <v>橙</v>
      </c>
      <c r="H253" s="19" t="str">
        <f ca="1">OFFSET($V$209,MATCH(N253/OFFSET(内容释放节奏!$L$51,MATCH(H54,内容释放节奏!$K$52:$K$81,1),0),$W$210:$W$216,1),0)</f>
        <v>红</v>
      </c>
      <c r="J253" s="19">
        <v>44</v>
      </c>
      <c r="K253" s="19">
        <f t="shared" si="39"/>
        <v>5922</v>
      </c>
      <c r="L253" s="19">
        <f t="shared" si="40"/>
        <v>11926</v>
      </c>
      <c r="M253" s="19">
        <f t="shared" si="41"/>
        <v>12344</v>
      </c>
      <c r="N253" s="19">
        <f t="shared" si="42"/>
        <v>37254</v>
      </c>
      <c r="P253" s="19">
        <v>44</v>
      </c>
      <c r="Q253" s="19">
        <f ca="1">OFFSET(内容释放节奏!$L$51,MATCH(E54,内容释放节奏!$K$52:$K$81,1),0)</f>
        <v>30</v>
      </c>
      <c r="R253" s="19">
        <f ca="1">OFFSET(内容释放节奏!$L$51,MATCH(F54,内容释放节奏!$K$52:$K$81,1),0)</f>
        <v>30</v>
      </c>
      <c r="S253" s="19">
        <f ca="1">OFFSET(内容释放节奏!$L$51,MATCH(G54,内容释放节奏!$K$52:$K$81,1),0)</f>
        <v>30</v>
      </c>
      <c r="T253" s="19">
        <f ca="1">OFFSET(内容释放节奏!$L$51,MATCH(H54,内容释放节奏!$K$52:$K$81,1),0)</f>
        <v>30</v>
      </c>
    </row>
    <row r="254" outlineLevel="1" spans="4:20">
      <c r="D254" s="19">
        <v>45</v>
      </c>
      <c r="E254" s="19" t="str">
        <f ca="1">OFFSET($V$209,MATCH(K254/OFFSET(内容释放节奏!$L$51,MATCH(E55,内容释放节奏!$K$52:$K$81,1),0),$W$210:$W$216,1),0)</f>
        <v>紫</v>
      </c>
      <c r="F254" s="19" t="str">
        <f ca="1">OFFSET($V$209,MATCH(L254/OFFSET(内容释放节奏!$L$51,MATCH(F55,内容释放节奏!$K$52:$K$81,1),0),$W$210:$W$216,1),0)</f>
        <v>橙</v>
      </c>
      <c r="G254" s="19" t="str">
        <f ca="1">OFFSET($V$209,MATCH(M254/OFFSET(内容释放节奏!$L$51,MATCH(G55,内容释放节奏!$K$52:$K$81,1),0),$W$210:$W$216,1),0)</f>
        <v>橙</v>
      </c>
      <c r="H254" s="19" t="str">
        <f ca="1">OFFSET($V$209,MATCH(N254/OFFSET(内容释放节奏!$L$51,MATCH(H55,内容释放节奏!$K$52:$K$81,1),0),$W$210:$W$216,1),0)</f>
        <v>红</v>
      </c>
      <c r="J254" s="19">
        <v>45</v>
      </c>
      <c r="K254" s="19">
        <f t="shared" si="39"/>
        <v>6053</v>
      </c>
      <c r="L254" s="19">
        <f t="shared" si="40"/>
        <v>12195</v>
      </c>
      <c r="M254" s="19">
        <f t="shared" si="41"/>
        <v>12622</v>
      </c>
      <c r="N254" s="19">
        <f t="shared" si="42"/>
        <v>38097</v>
      </c>
      <c r="P254" s="19">
        <v>45</v>
      </c>
      <c r="Q254" s="19">
        <f ca="1">OFFSET(内容释放节奏!$L$51,MATCH(E55,内容释放节奏!$K$52:$K$81,1),0)</f>
        <v>30</v>
      </c>
      <c r="R254" s="19">
        <f ca="1">OFFSET(内容释放节奏!$L$51,MATCH(F55,内容释放节奏!$K$52:$K$81,1),0)</f>
        <v>30</v>
      </c>
      <c r="S254" s="19">
        <f ca="1">OFFSET(内容释放节奏!$L$51,MATCH(G55,内容释放节奏!$K$52:$K$81,1),0)</f>
        <v>30</v>
      </c>
      <c r="T254" s="19">
        <f ca="1">OFFSET(内容释放节奏!$L$51,MATCH(H55,内容释放节奏!$K$52:$K$81,1),0)</f>
        <v>30</v>
      </c>
    </row>
    <row r="255" outlineLevel="1" spans="4:20">
      <c r="D255" s="19">
        <v>46</v>
      </c>
      <c r="E255" s="19" t="str">
        <f ca="1">OFFSET($V$209,MATCH(K255/OFFSET(内容释放节奏!$L$51,MATCH(E56,内容释放节奏!$K$52:$K$81,1),0),$W$210:$W$216,1),0)</f>
        <v>紫</v>
      </c>
      <c r="F255" s="19" t="str">
        <f ca="1">OFFSET($V$209,MATCH(L255/OFFSET(内容释放节奏!$L$51,MATCH(F56,内容释放节奏!$K$52:$K$81,1),0),$W$210:$W$216,1),0)</f>
        <v>橙</v>
      </c>
      <c r="G255" s="19" t="str">
        <f ca="1">OFFSET($V$209,MATCH(M255/OFFSET(内容释放节奏!$L$51,MATCH(G56,内容释放节奏!$K$52:$K$81,1),0),$W$210:$W$216,1),0)</f>
        <v>橙</v>
      </c>
      <c r="H255" s="19" t="str">
        <f ca="1">OFFSET($V$209,MATCH(N255/OFFSET(内容释放节奏!$L$51,MATCH(H56,内容释放节奏!$K$52:$K$81,1),0),$W$210:$W$216,1),0)</f>
        <v>红</v>
      </c>
      <c r="J255" s="19">
        <v>46</v>
      </c>
      <c r="K255" s="19">
        <f t="shared" si="39"/>
        <v>6186</v>
      </c>
      <c r="L255" s="19">
        <f t="shared" si="40"/>
        <v>12464</v>
      </c>
      <c r="M255" s="19">
        <f t="shared" si="41"/>
        <v>12900</v>
      </c>
      <c r="N255" s="19">
        <f t="shared" si="42"/>
        <v>38940</v>
      </c>
      <c r="P255" s="19">
        <v>46</v>
      </c>
      <c r="Q255" s="19">
        <f ca="1">OFFSET(内容释放节奏!$L$51,MATCH(E56,内容释放节奏!$K$52:$K$81,1),0)</f>
        <v>30</v>
      </c>
      <c r="R255" s="19">
        <f ca="1">OFFSET(内容释放节奏!$L$51,MATCH(F56,内容释放节奏!$K$52:$K$81,1),0)</f>
        <v>30</v>
      </c>
      <c r="S255" s="19">
        <f ca="1">OFFSET(内容释放节奏!$L$51,MATCH(G56,内容释放节奏!$K$52:$K$81,1),0)</f>
        <v>30</v>
      </c>
      <c r="T255" s="19">
        <f ca="1">OFFSET(内容释放节奏!$L$51,MATCH(H56,内容释放节奏!$K$52:$K$81,1),0)</f>
        <v>30</v>
      </c>
    </row>
    <row r="256" outlineLevel="1" spans="4:20">
      <c r="D256" s="19">
        <v>47</v>
      </c>
      <c r="E256" s="19" t="str">
        <f ca="1">OFFSET($V$209,MATCH(K256/OFFSET(内容释放节奏!$L$51,MATCH(E57,内容释放节奏!$K$52:$K$81,1),0),$W$210:$W$216,1),0)</f>
        <v>紫</v>
      </c>
      <c r="F256" s="19" t="str">
        <f ca="1">OFFSET($V$209,MATCH(L256/OFFSET(内容释放节奏!$L$51,MATCH(F57,内容释放节奏!$K$52:$K$81,1),0),$W$210:$W$216,1),0)</f>
        <v>橙</v>
      </c>
      <c r="G256" s="19" t="str">
        <f ca="1">OFFSET($V$209,MATCH(M256/OFFSET(内容释放节奏!$L$51,MATCH(G57,内容释放节奏!$K$52:$K$81,1),0),$W$210:$W$216,1),0)</f>
        <v>橙</v>
      </c>
      <c r="H256" s="19" t="str">
        <f ca="1">OFFSET($V$209,MATCH(N256/OFFSET(内容释放节奏!$L$51,MATCH(H57,内容释放节奏!$K$52:$K$81,1),0),$W$210:$W$216,1),0)</f>
        <v>红</v>
      </c>
      <c r="J256" s="19">
        <v>47</v>
      </c>
      <c r="K256" s="19">
        <f t="shared" si="39"/>
        <v>6317</v>
      </c>
      <c r="L256" s="19">
        <f t="shared" si="40"/>
        <v>12731</v>
      </c>
      <c r="M256" s="19">
        <f t="shared" si="41"/>
        <v>13178</v>
      </c>
      <c r="N256" s="19">
        <f t="shared" si="42"/>
        <v>39783</v>
      </c>
      <c r="P256" s="19">
        <v>47</v>
      </c>
      <c r="Q256" s="19">
        <f ca="1">OFFSET(内容释放节奏!$L$51,MATCH(E57,内容释放节奏!$K$52:$K$81,1),0)</f>
        <v>30</v>
      </c>
      <c r="R256" s="19">
        <f ca="1">OFFSET(内容释放节奏!$L$51,MATCH(F57,内容释放节奏!$K$52:$K$81,1),0)</f>
        <v>30</v>
      </c>
      <c r="S256" s="19">
        <f ca="1">OFFSET(内容释放节奏!$L$51,MATCH(G57,内容释放节奏!$K$52:$K$81,1),0)</f>
        <v>30</v>
      </c>
      <c r="T256" s="19">
        <f ca="1">OFFSET(内容释放节奏!$L$51,MATCH(H57,内容释放节奏!$K$52:$K$81,1),0)</f>
        <v>30</v>
      </c>
    </row>
    <row r="257" outlineLevel="1" spans="4:20">
      <c r="D257" s="19">
        <v>48</v>
      </c>
      <c r="E257" s="19" t="str">
        <f ca="1">OFFSET($V$209,MATCH(K257/OFFSET(内容释放节奏!$L$51,MATCH(E58,内容释放节奏!$K$52:$K$81,1),0),$W$210:$W$216,1),0)</f>
        <v>紫</v>
      </c>
      <c r="F257" s="19" t="str">
        <f ca="1">OFFSET($V$209,MATCH(L257/OFFSET(内容释放节奏!$L$51,MATCH(F58,内容释放节奏!$K$52:$K$81,1),0),$W$210:$W$216,1),0)</f>
        <v>橙</v>
      </c>
      <c r="G257" s="19" t="str">
        <f ca="1">OFFSET($V$209,MATCH(M257/OFFSET(内容释放节奏!$L$51,MATCH(G58,内容释放节奏!$K$52:$K$81,1),0),$W$210:$W$216,1),0)</f>
        <v>橙</v>
      </c>
      <c r="H257" s="19" t="str">
        <f ca="1">OFFSET($V$209,MATCH(N257/OFFSET(内容释放节奏!$L$51,MATCH(H58,内容释放节奏!$K$52:$K$81,1),0),$W$210:$W$216,1),0)</f>
        <v>红</v>
      </c>
      <c r="J257" s="19">
        <v>48</v>
      </c>
      <c r="K257" s="19">
        <f t="shared" si="39"/>
        <v>6450</v>
      </c>
      <c r="L257" s="19">
        <f t="shared" si="40"/>
        <v>13000</v>
      </c>
      <c r="M257" s="19">
        <f t="shared" si="41"/>
        <v>13456</v>
      </c>
      <c r="N257" s="19">
        <f t="shared" si="42"/>
        <v>40628</v>
      </c>
      <c r="P257" s="19">
        <v>48</v>
      </c>
      <c r="Q257" s="19">
        <f ca="1">OFFSET(内容释放节奏!$L$51,MATCH(E58,内容释放节奏!$K$52:$K$81,1),0)</f>
        <v>30</v>
      </c>
      <c r="R257" s="19">
        <f ca="1">OFFSET(内容释放节奏!$L$51,MATCH(F58,内容释放节奏!$K$52:$K$81,1),0)</f>
        <v>30</v>
      </c>
      <c r="S257" s="19">
        <f ca="1">OFFSET(内容释放节奏!$L$51,MATCH(G58,内容释放节奏!$K$52:$K$81,1),0)</f>
        <v>30</v>
      </c>
      <c r="T257" s="19">
        <f ca="1">OFFSET(内容释放节奏!$L$51,MATCH(H58,内容释放节奏!$K$52:$K$81,1),0)</f>
        <v>30</v>
      </c>
    </row>
    <row r="258" outlineLevel="1" spans="4:20">
      <c r="D258" s="19">
        <v>49</v>
      </c>
      <c r="E258" s="19" t="str">
        <f ca="1">OFFSET($V$209,MATCH(K258/OFFSET(内容释放节奏!$L$51,MATCH(E59,内容释放节奏!$K$52:$K$81,1),0),$W$210:$W$216,1),0)</f>
        <v>紫</v>
      </c>
      <c r="F258" s="19" t="str">
        <f ca="1">OFFSET($V$209,MATCH(L258/OFFSET(内容释放节奏!$L$51,MATCH(F59,内容释放节奏!$K$52:$K$81,1),0),$W$210:$W$216,1),0)</f>
        <v>橙</v>
      </c>
      <c r="G258" s="19" t="str">
        <f ca="1">OFFSET($V$209,MATCH(M258/OFFSET(内容释放节奏!$L$51,MATCH(G59,内容释放节奏!$K$52:$K$81,1),0),$W$210:$W$216,1),0)</f>
        <v>橙</v>
      </c>
      <c r="H258" s="19" t="str">
        <f ca="1">OFFSET($V$209,MATCH(N258/OFFSET(内容释放节奏!$L$51,MATCH(H59,内容释放节奏!$K$52:$K$81,1),0),$W$210:$W$216,1),0)</f>
        <v>红</v>
      </c>
      <c r="J258" s="19">
        <v>49</v>
      </c>
      <c r="K258" s="19">
        <f t="shared" si="39"/>
        <v>6581</v>
      </c>
      <c r="L258" s="19">
        <f t="shared" si="40"/>
        <v>13269</v>
      </c>
      <c r="M258" s="19">
        <f t="shared" si="41"/>
        <v>13734</v>
      </c>
      <c r="N258" s="19">
        <f t="shared" si="42"/>
        <v>41471</v>
      </c>
      <c r="P258" s="19">
        <v>49</v>
      </c>
      <c r="Q258" s="19">
        <f ca="1">OFFSET(内容释放节奏!$L$51,MATCH(E59,内容释放节奏!$K$52:$K$81,1),0)</f>
        <v>30</v>
      </c>
      <c r="R258" s="19">
        <f ca="1">OFFSET(内容释放节奏!$L$51,MATCH(F59,内容释放节奏!$K$52:$K$81,1),0)</f>
        <v>30</v>
      </c>
      <c r="S258" s="19">
        <f ca="1">OFFSET(内容释放节奏!$L$51,MATCH(G59,内容释放节奏!$K$52:$K$81,1),0)</f>
        <v>30</v>
      </c>
      <c r="T258" s="19">
        <f ca="1">OFFSET(内容释放节奏!$L$51,MATCH(H59,内容释放节奏!$K$52:$K$81,1),0)</f>
        <v>30</v>
      </c>
    </row>
    <row r="259" outlineLevel="1" spans="4:20">
      <c r="D259" s="19">
        <v>50</v>
      </c>
      <c r="E259" s="19" t="str">
        <f ca="1">OFFSET($V$209,MATCH(K259/OFFSET(内容释放节奏!$L$51,MATCH(E60,内容释放节奏!$K$52:$K$81,1),0),$W$210:$W$216,1),0)</f>
        <v>紫</v>
      </c>
      <c r="F259" s="19" t="str">
        <f ca="1">OFFSET($V$209,MATCH(L259/OFFSET(内容释放节奏!$L$51,MATCH(F60,内容释放节奏!$K$52:$K$81,1),0),$W$210:$W$216,1),0)</f>
        <v>橙</v>
      </c>
      <c r="G259" s="19" t="str">
        <f ca="1">OFFSET($V$209,MATCH(M259/OFFSET(内容释放节奏!$L$51,MATCH(G60,内容释放节奏!$K$52:$K$81,1),0),$W$210:$W$216,1),0)</f>
        <v>橙</v>
      </c>
      <c r="H259" s="19" t="str">
        <f ca="1">OFFSET($V$209,MATCH(N259/OFFSET(内容释放节奏!$L$51,MATCH(H60,内容释放节奏!$K$52:$K$81,1),0),$W$210:$W$216,1),0)</f>
        <v>红</v>
      </c>
      <c r="J259" s="19">
        <v>50</v>
      </c>
      <c r="K259" s="19">
        <f t="shared" si="39"/>
        <v>6714</v>
      </c>
      <c r="L259" s="19">
        <f t="shared" si="40"/>
        <v>13538</v>
      </c>
      <c r="M259" s="19">
        <f t="shared" si="41"/>
        <v>14012</v>
      </c>
      <c r="N259" s="19">
        <f t="shared" si="42"/>
        <v>42314</v>
      </c>
      <c r="P259" s="19">
        <v>50</v>
      </c>
      <c r="Q259" s="19">
        <f ca="1">OFFSET(内容释放节奏!$L$51,MATCH(E60,内容释放节奏!$K$52:$K$81,1),0)</f>
        <v>30</v>
      </c>
      <c r="R259" s="19">
        <f ca="1">OFFSET(内容释放节奏!$L$51,MATCH(F60,内容释放节奏!$K$52:$K$81,1),0)</f>
        <v>30</v>
      </c>
      <c r="S259" s="19">
        <f ca="1">OFFSET(内容释放节奏!$L$51,MATCH(G60,内容释放节奏!$K$52:$K$81,1),0)</f>
        <v>30</v>
      </c>
      <c r="T259" s="19">
        <f ca="1">OFFSET(内容释放节奏!$L$51,MATCH(H60,内容释放节奏!$K$52:$K$81,1),0)</f>
        <v>30</v>
      </c>
    </row>
    <row r="260" outlineLevel="1" spans="4:20">
      <c r="D260" s="19">
        <v>51</v>
      </c>
      <c r="E260" s="19" t="str">
        <f ca="1">OFFSET($V$209,MATCH(K260/OFFSET(内容释放节奏!$L$51,MATCH(E61,内容释放节奏!$K$52:$K$81,1),0),$W$210:$W$216,1),0)</f>
        <v>紫</v>
      </c>
      <c r="F260" s="19" t="str">
        <f ca="1">OFFSET($V$209,MATCH(L260/OFFSET(内容释放节奏!$L$51,MATCH(F61,内容释放节奏!$K$52:$K$81,1),0),$W$210:$W$216,1),0)</f>
        <v>橙</v>
      </c>
      <c r="G260" s="19" t="str">
        <f ca="1">OFFSET($V$209,MATCH(M260/OFFSET(内容释放节奏!$L$51,MATCH(G61,内容释放节奏!$K$52:$K$81,1),0),$W$210:$W$216,1),0)</f>
        <v>橙</v>
      </c>
      <c r="H260" s="19" t="str">
        <f ca="1">OFFSET($V$209,MATCH(N260/OFFSET(内容释放节奏!$L$51,MATCH(H61,内容释放节奏!$K$52:$K$81,1),0),$W$210:$W$216,1),0)</f>
        <v>红</v>
      </c>
      <c r="J260" s="19">
        <v>51</v>
      </c>
      <c r="K260" s="19">
        <f t="shared" si="39"/>
        <v>6845</v>
      </c>
      <c r="L260" s="19">
        <f t="shared" si="40"/>
        <v>13805</v>
      </c>
      <c r="M260" s="19">
        <f t="shared" si="41"/>
        <v>14290</v>
      </c>
      <c r="N260" s="19">
        <f t="shared" si="42"/>
        <v>43157</v>
      </c>
      <c r="P260" s="19">
        <v>51</v>
      </c>
      <c r="Q260" s="19">
        <f ca="1">OFFSET(内容释放节奏!$L$51,MATCH(E61,内容释放节奏!$K$52:$K$81,1),0)</f>
        <v>30</v>
      </c>
      <c r="R260" s="19">
        <f ca="1">OFFSET(内容释放节奏!$L$51,MATCH(F61,内容释放节奏!$K$52:$K$81,1),0)</f>
        <v>30</v>
      </c>
      <c r="S260" s="19">
        <f ca="1">OFFSET(内容释放节奏!$L$51,MATCH(G61,内容释放节奏!$K$52:$K$81,1),0)</f>
        <v>30</v>
      </c>
      <c r="T260" s="19">
        <f ca="1">OFFSET(内容释放节奏!$L$51,MATCH(H61,内容释放节奏!$K$52:$K$81,1),0)</f>
        <v>30</v>
      </c>
    </row>
    <row r="261" outlineLevel="1" spans="4:20">
      <c r="D261" s="19">
        <v>52</v>
      </c>
      <c r="E261" s="19" t="str">
        <f ca="1">OFFSET($V$209,MATCH(K261/OFFSET(内容释放节奏!$L$51,MATCH(E62,内容释放节奏!$K$52:$K$81,1),0),$W$210:$W$216,1),0)</f>
        <v>紫</v>
      </c>
      <c r="F261" s="19" t="str">
        <f ca="1">OFFSET($V$209,MATCH(L261/OFFSET(内容释放节奏!$L$51,MATCH(F62,内容释放节奏!$K$52:$K$81,1),0),$W$210:$W$216,1),0)</f>
        <v>橙</v>
      </c>
      <c r="G261" s="19" t="str">
        <f ca="1">OFFSET($V$209,MATCH(M261/OFFSET(内容释放节奏!$L$51,MATCH(G62,内容释放节奏!$K$52:$K$81,1),0),$W$210:$W$216,1),0)</f>
        <v>橙</v>
      </c>
      <c r="H261" s="19" t="str">
        <f ca="1">OFFSET($V$209,MATCH(N261/OFFSET(内容释放节奏!$L$51,MATCH(H62,内容释放节奏!$K$52:$K$81,1),0),$W$210:$W$216,1),0)</f>
        <v>红</v>
      </c>
      <c r="J261" s="19">
        <v>52</v>
      </c>
      <c r="K261" s="19">
        <f t="shared" si="39"/>
        <v>6978</v>
      </c>
      <c r="L261" s="19">
        <f t="shared" si="40"/>
        <v>14074</v>
      </c>
      <c r="M261" s="19">
        <f t="shared" si="41"/>
        <v>14568</v>
      </c>
      <c r="N261" s="19">
        <f t="shared" si="42"/>
        <v>44002</v>
      </c>
      <c r="P261" s="19">
        <v>52</v>
      </c>
      <c r="Q261" s="19">
        <f ca="1">OFFSET(内容释放节奏!$L$51,MATCH(E62,内容释放节奏!$K$52:$K$81,1),0)</f>
        <v>30</v>
      </c>
      <c r="R261" s="19">
        <f ca="1">OFFSET(内容释放节奏!$L$51,MATCH(F62,内容释放节奏!$K$52:$K$81,1),0)</f>
        <v>30</v>
      </c>
      <c r="S261" s="19">
        <f ca="1">OFFSET(内容释放节奏!$L$51,MATCH(G62,内容释放节奏!$K$52:$K$81,1),0)</f>
        <v>30</v>
      </c>
      <c r="T261" s="19">
        <f ca="1">OFFSET(内容释放节奏!$L$51,MATCH(H62,内容释放节奏!$K$52:$K$81,1),0)</f>
        <v>30</v>
      </c>
    </row>
    <row r="262" outlineLevel="1" spans="4:20">
      <c r="D262" s="19">
        <v>53</v>
      </c>
      <c r="E262" s="19" t="str">
        <f ca="1">OFFSET($V$209,MATCH(K262/OFFSET(内容释放节奏!$L$51,MATCH(E63,内容释放节奏!$K$52:$K$81,1),0),$W$210:$W$216,1),0)</f>
        <v>紫</v>
      </c>
      <c r="F262" s="19" t="str">
        <f ca="1">OFFSET($V$209,MATCH(L262/OFFSET(内容释放节奏!$L$51,MATCH(F63,内容释放节奏!$K$52:$K$81,1),0),$W$210:$W$216,1),0)</f>
        <v>橙</v>
      </c>
      <c r="G262" s="19" t="str">
        <f ca="1">OFFSET($V$209,MATCH(M262/OFFSET(内容释放节奏!$L$51,MATCH(G63,内容释放节奏!$K$52:$K$81,1),0),$W$210:$W$216,1),0)</f>
        <v>橙</v>
      </c>
      <c r="H262" s="19" t="str">
        <f ca="1">OFFSET($V$209,MATCH(N262/OFFSET(内容释放节奏!$L$51,MATCH(H63,内容释放节奏!$K$52:$K$81,1),0),$W$210:$W$216,1),0)</f>
        <v>红</v>
      </c>
      <c r="J262" s="19">
        <v>53</v>
      </c>
      <c r="K262" s="19">
        <f t="shared" si="39"/>
        <v>7109</v>
      </c>
      <c r="L262" s="19">
        <f t="shared" si="40"/>
        <v>14343</v>
      </c>
      <c r="M262" s="19">
        <f t="shared" si="41"/>
        <v>14846</v>
      </c>
      <c r="N262" s="19">
        <f t="shared" si="42"/>
        <v>44845</v>
      </c>
      <c r="P262" s="19">
        <v>53</v>
      </c>
      <c r="Q262" s="19">
        <f ca="1">OFFSET(内容释放节奏!$L$51,MATCH(E63,内容释放节奏!$K$52:$K$81,1),0)</f>
        <v>30</v>
      </c>
      <c r="R262" s="19">
        <f ca="1">OFFSET(内容释放节奏!$L$51,MATCH(F63,内容释放节奏!$K$52:$K$81,1),0)</f>
        <v>30</v>
      </c>
      <c r="S262" s="19">
        <f ca="1">OFFSET(内容释放节奏!$L$51,MATCH(G63,内容释放节奏!$K$52:$K$81,1),0)</f>
        <v>30</v>
      </c>
      <c r="T262" s="19">
        <f ca="1">OFFSET(内容释放节奏!$L$51,MATCH(H63,内容释放节奏!$K$52:$K$81,1),0)</f>
        <v>30</v>
      </c>
    </row>
    <row r="263" outlineLevel="1" spans="4:20">
      <c r="D263" s="19">
        <v>54</v>
      </c>
      <c r="E263" s="19" t="str">
        <f ca="1">OFFSET($V$209,MATCH(K263/OFFSET(内容释放节奏!$L$51,MATCH(E64,内容释放节奏!$K$52:$K$81,1),0),$W$210:$W$216,1),0)</f>
        <v>紫</v>
      </c>
      <c r="F263" s="19" t="str">
        <f ca="1">OFFSET($V$209,MATCH(L263/OFFSET(内容释放节奏!$L$51,MATCH(F64,内容释放节奏!$K$52:$K$81,1),0),$W$210:$W$216,1),0)</f>
        <v>橙</v>
      </c>
      <c r="G263" s="19" t="str">
        <f ca="1">OFFSET($V$209,MATCH(M263/OFFSET(内容释放节奏!$L$51,MATCH(G64,内容释放节奏!$K$52:$K$81,1),0),$W$210:$W$216,1),0)</f>
        <v>橙</v>
      </c>
      <c r="H263" s="19" t="str">
        <f ca="1">OFFSET($V$209,MATCH(N263/OFFSET(内容释放节奏!$L$51,MATCH(H64,内容释放节奏!$K$52:$K$81,1),0),$W$210:$W$216,1),0)</f>
        <v>红</v>
      </c>
      <c r="J263" s="19">
        <v>54</v>
      </c>
      <c r="K263" s="19">
        <f t="shared" si="39"/>
        <v>7242</v>
      </c>
      <c r="L263" s="19">
        <f t="shared" si="40"/>
        <v>14612</v>
      </c>
      <c r="M263" s="19">
        <f t="shared" si="41"/>
        <v>15124</v>
      </c>
      <c r="N263" s="19">
        <f t="shared" si="42"/>
        <v>45688</v>
      </c>
      <c r="P263" s="19">
        <v>54</v>
      </c>
      <c r="Q263" s="19">
        <f ca="1">OFFSET(内容释放节奏!$L$51,MATCH(E64,内容释放节奏!$K$52:$K$81,1),0)</f>
        <v>30</v>
      </c>
      <c r="R263" s="19">
        <f ca="1">OFFSET(内容释放节奏!$L$51,MATCH(F64,内容释放节奏!$K$52:$K$81,1),0)</f>
        <v>30</v>
      </c>
      <c r="S263" s="19">
        <f ca="1">OFFSET(内容释放节奏!$L$51,MATCH(G64,内容释放节奏!$K$52:$K$81,1),0)</f>
        <v>30</v>
      </c>
      <c r="T263" s="19">
        <f ca="1">OFFSET(内容释放节奏!$L$51,MATCH(H64,内容释放节奏!$K$52:$K$81,1),0)</f>
        <v>30</v>
      </c>
    </row>
    <row r="264" outlineLevel="1" spans="4:20">
      <c r="D264" s="19">
        <v>55</v>
      </c>
      <c r="E264" s="19" t="str">
        <f ca="1">OFFSET($V$209,MATCH(K264/OFFSET(内容释放节奏!$L$51,MATCH(E65,内容释放节奏!$K$52:$K$81,1),0),$W$210:$W$216,1),0)</f>
        <v>紫</v>
      </c>
      <c r="F264" s="19" t="str">
        <f ca="1">OFFSET($V$209,MATCH(L264/OFFSET(内容释放节奏!$L$51,MATCH(F65,内容释放节奏!$K$52:$K$81,1),0),$W$210:$W$216,1),0)</f>
        <v>橙</v>
      </c>
      <c r="G264" s="19" t="str">
        <f ca="1">OFFSET($V$209,MATCH(M264/OFFSET(内容释放节奏!$L$51,MATCH(G65,内容释放节奏!$K$52:$K$81,1),0),$W$210:$W$216,1),0)</f>
        <v>橙</v>
      </c>
      <c r="H264" s="19" t="str">
        <f ca="1">OFFSET($V$209,MATCH(N264/OFFSET(内容释放节奏!$L$51,MATCH(H65,内容释放节奏!$K$52:$K$81,1),0),$W$210:$W$216,1),0)</f>
        <v>红</v>
      </c>
      <c r="J264" s="19">
        <v>55</v>
      </c>
      <c r="K264" s="19">
        <f t="shared" si="39"/>
        <v>7373</v>
      </c>
      <c r="L264" s="19">
        <f t="shared" si="40"/>
        <v>14879</v>
      </c>
      <c r="M264" s="19">
        <f t="shared" si="41"/>
        <v>15402</v>
      </c>
      <c r="N264" s="19">
        <f t="shared" si="42"/>
        <v>46531</v>
      </c>
      <c r="P264" s="19">
        <v>55</v>
      </c>
      <c r="Q264" s="19">
        <f ca="1">OFFSET(内容释放节奏!$L$51,MATCH(E65,内容释放节奏!$K$52:$K$81,1),0)</f>
        <v>30</v>
      </c>
      <c r="R264" s="19">
        <f ca="1">OFFSET(内容释放节奏!$L$51,MATCH(F65,内容释放节奏!$K$52:$K$81,1),0)</f>
        <v>30</v>
      </c>
      <c r="S264" s="19">
        <f ca="1">OFFSET(内容释放节奏!$L$51,MATCH(G65,内容释放节奏!$K$52:$K$81,1),0)</f>
        <v>30</v>
      </c>
      <c r="T264" s="19">
        <f ca="1">OFFSET(内容释放节奏!$L$51,MATCH(H65,内容释放节奏!$K$52:$K$81,1),0)</f>
        <v>30</v>
      </c>
    </row>
    <row r="265" outlineLevel="1" spans="4:20">
      <c r="D265" s="19">
        <v>56</v>
      </c>
      <c r="E265" s="19" t="str">
        <f ca="1">OFFSET($V$209,MATCH(K265/OFFSET(内容释放节奏!$L$51,MATCH(E66,内容释放节奏!$K$52:$K$81,1),0),$W$210:$W$216,1),0)</f>
        <v>紫</v>
      </c>
      <c r="F265" s="19" t="str">
        <f ca="1">OFFSET($V$209,MATCH(L265/OFFSET(内容释放节奏!$L$51,MATCH(F66,内容释放节奏!$K$52:$K$81,1),0),$W$210:$W$216,1),0)</f>
        <v>橙</v>
      </c>
      <c r="G265" s="19" t="str">
        <f ca="1">OFFSET($V$209,MATCH(M265/OFFSET(内容释放节奏!$L$51,MATCH(G66,内容释放节奏!$K$52:$K$81,1),0),$W$210:$W$216,1),0)</f>
        <v>橙</v>
      </c>
      <c r="H265" s="19" t="str">
        <f ca="1">OFFSET($V$209,MATCH(N265/OFFSET(内容释放节奏!$L$51,MATCH(H66,内容释放节奏!$K$52:$K$81,1),0),$W$210:$W$216,1),0)</f>
        <v>红</v>
      </c>
      <c r="J265" s="19">
        <v>56</v>
      </c>
      <c r="K265" s="19">
        <f t="shared" si="39"/>
        <v>7506</v>
      </c>
      <c r="L265" s="19">
        <f t="shared" si="40"/>
        <v>15148</v>
      </c>
      <c r="M265" s="19">
        <f t="shared" si="41"/>
        <v>15680</v>
      </c>
      <c r="N265" s="19">
        <f t="shared" si="42"/>
        <v>47376</v>
      </c>
      <c r="P265" s="19">
        <v>56</v>
      </c>
      <c r="Q265" s="19">
        <f ca="1">OFFSET(内容释放节奏!$L$51,MATCH(E66,内容释放节奏!$K$52:$K$81,1),0)</f>
        <v>30</v>
      </c>
      <c r="R265" s="19">
        <f ca="1">OFFSET(内容释放节奏!$L$51,MATCH(F66,内容释放节奏!$K$52:$K$81,1),0)</f>
        <v>30</v>
      </c>
      <c r="S265" s="19">
        <f ca="1">OFFSET(内容释放节奏!$L$51,MATCH(G66,内容释放节奏!$K$52:$K$81,1),0)</f>
        <v>30</v>
      </c>
      <c r="T265" s="19">
        <f ca="1">OFFSET(内容释放节奏!$L$51,MATCH(H66,内容释放节奏!$K$52:$K$81,1),0)</f>
        <v>30</v>
      </c>
    </row>
    <row r="266" outlineLevel="1" spans="4:20">
      <c r="D266" s="19">
        <v>57</v>
      </c>
      <c r="E266" s="19" t="str">
        <f ca="1">OFFSET($V$209,MATCH(K266/OFFSET(内容释放节奏!$L$51,MATCH(E67,内容释放节奏!$K$52:$K$81,1),0),$W$210:$W$216,1),0)</f>
        <v>紫</v>
      </c>
      <c r="F266" s="19" t="str">
        <f ca="1">OFFSET($V$209,MATCH(L266/OFFSET(内容释放节奏!$L$51,MATCH(F67,内容释放节奏!$K$52:$K$81,1),0),$W$210:$W$216,1),0)</f>
        <v>橙</v>
      </c>
      <c r="G266" s="19" t="str">
        <f ca="1">OFFSET($V$209,MATCH(M266/OFFSET(内容释放节奏!$L$51,MATCH(G67,内容释放节奏!$K$52:$K$81,1),0),$W$210:$W$216,1),0)</f>
        <v>橙</v>
      </c>
      <c r="H266" s="19" t="str">
        <f ca="1">OFFSET($V$209,MATCH(N266/OFFSET(内容释放节奏!$L$51,MATCH(H67,内容释放节奏!$K$52:$K$81,1),0),$W$210:$W$216,1),0)</f>
        <v>红</v>
      </c>
      <c r="J266" s="19">
        <v>57</v>
      </c>
      <c r="K266" s="19">
        <f t="shared" si="39"/>
        <v>7637</v>
      </c>
      <c r="L266" s="19">
        <f t="shared" si="40"/>
        <v>15417</v>
      </c>
      <c r="M266" s="19">
        <f t="shared" si="41"/>
        <v>15958</v>
      </c>
      <c r="N266" s="19">
        <f t="shared" si="42"/>
        <v>48219</v>
      </c>
      <c r="P266" s="19">
        <v>57</v>
      </c>
      <c r="Q266" s="19">
        <f ca="1">OFFSET(内容释放节奏!$L$51,MATCH(E67,内容释放节奏!$K$52:$K$81,1),0)</f>
        <v>30</v>
      </c>
      <c r="R266" s="19">
        <f ca="1">OFFSET(内容释放节奏!$L$51,MATCH(F67,内容释放节奏!$K$52:$K$81,1),0)</f>
        <v>30</v>
      </c>
      <c r="S266" s="19">
        <f ca="1">OFFSET(内容释放节奏!$L$51,MATCH(G67,内容释放节奏!$K$52:$K$81,1),0)</f>
        <v>30</v>
      </c>
      <c r="T266" s="19">
        <f ca="1">OFFSET(内容释放节奏!$L$51,MATCH(H67,内容释放节奏!$K$52:$K$81,1),0)</f>
        <v>30</v>
      </c>
    </row>
    <row r="267" outlineLevel="1" spans="4:20">
      <c r="D267" s="19">
        <v>58</v>
      </c>
      <c r="E267" s="19" t="str">
        <f ca="1">OFFSET($V$209,MATCH(K267/OFFSET(内容释放节奏!$L$51,MATCH(E68,内容释放节奏!$K$52:$K$81,1),0),$W$210:$W$216,1),0)</f>
        <v>橙</v>
      </c>
      <c r="F267" s="19" t="str">
        <f ca="1">OFFSET($V$209,MATCH(L267/OFFSET(内容释放节奏!$L$51,MATCH(F68,内容释放节奏!$K$52:$K$81,1),0),$W$210:$W$216,1),0)</f>
        <v>橙</v>
      </c>
      <c r="G267" s="19" t="str">
        <f ca="1">OFFSET($V$209,MATCH(M267/OFFSET(内容释放节奏!$L$51,MATCH(G68,内容释放节奏!$K$52:$K$81,1),0),$W$210:$W$216,1),0)</f>
        <v>橙</v>
      </c>
      <c r="H267" s="19" t="str">
        <f ca="1">OFFSET($V$209,MATCH(N267/OFFSET(内容释放节奏!$L$51,MATCH(H68,内容释放节奏!$K$52:$K$81,1),0),$W$210:$W$216,1),0)</f>
        <v>红</v>
      </c>
      <c r="J267" s="19">
        <v>58</v>
      </c>
      <c r="K267" s="19">
        <f t="shared" si="39"/>
        <v>7770</v>
      </c>
      <c r="L267" s="19">
        <f t="shared" si="40"/>
        <v>15686</v>
      </c>
      <c r="M267" s="19">
        <f t="shared" si="41"/>
        <v>16236</v>
      </c>
      <c r="N267" s="19">
        <f t="shared" si="42"/>
        <v>49062</v>
      </c>
      <c r="P267" s="19">
        <v>58</v>
      </c>
      <c r="Q267" s="19">
        <f ca="1">OFFSET(内容释放节奏!$L$51,MATCH(E68,内容释放节奏!$K$52:$K$81,1),0)</f>
        <v>30</v>
      </c>
      <c r="R267" s="19">
        <f ca="1">OFFSET(内容释放节奏!$L$51,MATCH(F68,内容释放节奏!$K$52:$K$81,1),0)</f>
        <v>30</v>
      </c>
      <c r="S267" s="19">
        <f ca="1">OFFSET(内容释放节奏!$L$51,MATCH(G68,内容释放节奏!$K$52:$K$81,1),0)</f>
        <v>30</v>
      </c>
      <c r="T267" s="19">
        <f ca="1">OFFSET(内容释放节奏!$L$51,MATCH(H68,内容释放节奏!$K$52:$K$81,1),0)</f>
        <v>30</v>
      </c>
    </row>
    <row r="268" outlineLevel="1" spans="4:20">
      <c r="D268" s="19">
        <v>59</v>
      </c>
      <c r="E268" s="19" t="str">
        <f ca="1">OFFSET($V$209,MATCH(K268/OFFSET(内容释放节奏!$L$51,MATCH(E69,内容释放节奏!$K$52:$K$81,1),0),$W$210:$W$216,1),0)</f>
        <v>橙</v>
      </c>
      <c r="F268" s="19" t="str">
        <f ca="1">OFFSET($V$209,MATCH(L268/OFFSET(内容释放节奏!$L$51,MATCH(F69,内容释放节奏!$K$52:$K$81,1),0),$W$210:$W$216,1),0)</f>
        <v>橙</v>
      </c>
      <c r="G268" s="19" t="str">
        <f ca="1">OFFSET($V$209,MATCH(M268/OFFSET(内容释放节奏!$L$51,MATCH(G69,内容释放节奏!$K$52:$K$81,1),0),$W$210:$W$216,1),0)</f>
        <v>橙</v>
      </c>
      <c r="H268" s="19" t="str">
        <f ca="1">OFFSET($V$209,MATCH(N268/OFFSET(内容释放节奏!$L$51,MATCH(H69,内容释放节奏!$K$52:$K$81,1),0),$W$210:$W$216,1),0)</f>
        <v>红</v>
      </c>
      <c r="J268" s="19">
        <v>59</v>
      </c>
      <c r="K268" s="19">
        <f t="shared" si="39"/>
        <v>7901</v>
      </c>
      <c r="L268" s="19">
        <f t="shared" si="40"/>
        <v>15953</v>
      </c>
      <c r="M268" s="19">
        <f t="shared" si="41"/>
        <v>16514</v>
      </c>
      <c r="N268" s="19">
        <f t="shared" si="42"/>
        <v>49905</v>
      </c>
      <c r="P268" s="19">
        <v>59</v>
      </c>
      <c r="Q268" s="19">
        <f ca="1">OFFSET(内容释放节奏!$L$51,MATCH(E69,内容释放节奏!$K$52:$K$81,1),0)</f>
        <v>30</v>
      </c>
      <c r="R268" s="19">
        <f ca="1">OFFSET(内容释放节奏!$L$51,MATCH(F69,内容释放节奏!$K$52:$K$81,1),0)</f>
        <v>30</v>
      </c>
      <c r="S268" s="19">
        <f ca="1">OFFSET(内容释放节奏!$L$51,MATCH(G69,内容释放节奏!$K$52:$K$81,1),0)</f>
        <v>30</v>
      </c>
      <c r="T268" s="19">
        <f ca="1">OFFSET(内容释放节奏!$L$51,MATCH(H69,内容释放节奏!$K$52:$K$81,1),0)</f>
        <v>30</v>
      </c>
    </row>
    <row r="269" outlineLevel="1" spans="4:20">
      <c r="D269" s="19">
        <v>60</v>
      </c>
      <c r="E269" s="19" t="str">
        <f ca="1">OFFSET($V$209,MATCH(K269/OFFSET(内容释放节奏!$L$51,MATCH(E70,内容释放节奏!$K$52:$K$81,1),0),$W$210:$W$216,1),0)</f>
        <v>橙</v>
      </c>
      <c r="F269" s="19" t="str">
        <f ca="1">OFFSET($V$209,MATCH(L269/OFFSET(内容释放节奏!$L$51,MATCH(F70,内容释放节奏!$K$52:$K$81,1),0),$W$210:$W$216,1),0)</f>
        <v>橙</v>
      </c>
      <c r="G269" s="19" t="str">
        <f ca="1">OFFSET($V$209,MATCH(M269/OFFSET(内容释放节奏!$L$51,MATCH(G70,内容释放节奏!$K$52:$K$81,1),0),$W$210:$W$216,1),0)</f>
        <v>橙</v>
      </c>
      <c r="H269" s="19" t="str">
        <f ca="1">OFFSET($V$209,MATCH(N269/OFFSET(内容释放节奏!$L$51,MATCH(H70,内容释放节奏!$K$52:$K$81,1),0),$W$210:$W$216,1),0)</f>
        <v>红</v>
      </c>
      <c r="J269" s="19">
        <v>60</v>
      </c>
      <c r="K269" s="19">
        <f t="shared" si="39"/>
        <v>8034</v>
      </c>
      <c r="L269" s="19">
        <f t="shared" si="40"/>
        <v>16222</v>
      </c>
      <c r="M269" s="19">
        <f t="shared" si="41"/>
        <v>16792</v>
      </c>
      <c r="N269" s="19">
        <f t="shared" si="42"/>
        <v>50750</v>
      </c>
      <c r="P269" s="19">
        <v>60</v>
      </c>
      <c r="Q269" s="19">
        <f ca="1">OFFSET(内容释放节奏!$L$51,MATCH(E70,内容释放节奏!$K$52:$K$81,1),0)</f>
        <v>30</v>
      </c>
      <c r="R269" s="19">
        <f ca="1">OFFSET(内容释放节奏!$L$51,MATCH(F70,内容释放节奏!$K$52:$K$81,1),0)</f>
        <v>30</v>
      </c>
      <c r="S269" s="19">
        <f ca="1">OFFSET(内容释放节奏!$L$51,MATCH(G70,内容释放节奏!$K$52:$K$81,1),0)</f>
        <v>30</v>
      </c>
      <c r="T269" s="19">
        <f ca="1">OFFSET(内容释放节奏!$L$51,MATCH(H70,内容释放节奏!$K$52:$K$81,1),0)</f>
        <v>30</v>
      </c>
    </row>
    <row r="270" outlineLevel="1" spans="4:20">
      <c r="K270" s="19"/>
      <c r="L270" s="19"/>
      <c r="M270" s="19"/>
      <c r="N270" s="19"/>
    </row>
    <row r="271" outlineLevel="1" spans="4:20">
      <c r="K271" s="19"/>
      <c r="L271" s="19"/>
      <c r="M271" s="19"/>
      <c r="N271" s="19"/>
    </row>
    <row r="272" spans="4:20">
      <c r="K272" s="19"/>
      <c r="L272" s="19"/>
      <c r="M272" s="19"/>
      <c r="N272" s="19"/>
    </row>
    <row r="273" spans="11:14">
      <c r="K273" s="19"/>
      <c r="L273" s="19"/>
      <c r="M273" s="19"/>
      <c r="N273" s="19"/>
    </row>
    <row r="274" spans="11:14">
      <c r="K274" s="19"/>
      <c r="L274" s="19"/>
      <c r="M274" s="19"/>
      <c r="N274" s="19"/>
    </row>
    <row r="275" spans="11:14">
      <c r="K275" s="19"/>
      <c r="L275" s="19"/>
      <c r="M275" s="19"/>
      <c r="N275" s="19"/>
    </row>
    <row r="276" spans="11:14">
      <c r="K276" s="19"/>
      <c r="L276" s="19"/>
      <c r="M276" s="19"/>
      <c r="N276" s="19"/>
    </row>
    <row r="277" spans="11:14">
      <c r="K277" s="19"/>
      <c r="L277" s="19"/>
      <c r="M277" s="19"/>
      <c r="N277" s="19"/>
    </row>
    <row r="278" spans="11:14">
      <c r="K278" s="19"/>
      <c r="L278" s="19"/>
      <c r="M278" s="19"/>
      <c r="N278" s="19"/>
    </row>
    <row r="279" spans="11:14">
      <c r="K279" s="19"/>
      <c r="L279" s="19"/>
      <c r="M279" s="19"/>
      <c r="N279" s="19"/>
    </row>
    <row r="280" spans="11:14">
      <c r="K280" s="19"/>
      <c r="L280" s="19"/>
      <c r="M280" s="19"/>
      <c r="N280" s="19"/>
    </row>
    <row r="281" spans="11:14">
      <c r="K281" s="19"/>
      <c r="L281" s="19"/>
      <c r="M281" s="19"/>
      <c r="N281" s="19"/>
    </row>
    <row r="282" spans="11:14">
      <c r="K282" s="19"/>
      <c r="L282" s="19"/>
      <c r="M282" s="19"/>
      <c r="N282" s="19"/>
    </row>
    <row r="283" spans="11:14">
      <c r="K283" s="19"/>
      <c r="L283" s="19"/>
      <c r="M283" s="19"/>
      <c r="N283" s="19"/>
    </row>
    <row r="284" spans="11:14">
      <c r="K284" s="19"/>
      <c r="L284" s="19"/>
      <c r="M284" s="19"/>
      <c r="N284" s="19"/>
    </row>
    <row r="285" spans="11:14">
      <c r="K285" s="19"/>
      <c r="L285" s="19"/>
      <c r="M285" s="19"/>
      <c r="N285" s="19"/>
    </row>
    <row r="286" spans="11:14">
      <c r="K286" s="19"/>
      <c r="L286" s="19"/>
      <c r="M286" s="19"/>
      <c r="N286" s="19"/>
    </row>
    <row r="287" spans="11:14">
      <c r="K287" s="19"/>
      <c r="L287" s="19"/>
      <c r="M287" s="19"/>
      <c r="N287" s="19"/>
    </row>
    <row r="288" spans="11:14">
      <c r="K288" s="19"/>
      <c r="L288" s="19"/>
      <c r="M288" s="19"/>
      <c r="N288" s="19"/>
    </row>
    <row r="289" spans="11:14">
      <c r="K289" s="19"/>
      <c r="L289" s="19"/>
      <c r="M289" s="19"/>
      <c r="N289" s="19"/>
    </row>
    <row r="290" spans="11:14">
      <c r="K290" s="19"/>
      <c r="L290" s="19"/>
      <c r="M290" s="19"/>
      <c r="N290" s="19"/>
    </row>
    <row r="291" spans="11:14">
      <c r="K291" s="19"/>
      <c r="L291" s="19"/>
      <c r="M291" s="19"/>
      <c r="N291" s="19"/>
    </row>
    <row r="292" spans="11:14">
      <c r="K292" s="19"/>
      <c r="L292" s="19"/>
      <c r="M292" s="19"/>
      <c r="N292" s="19"/>
    </row>
    <row r="293" spans="11:14">
      <c r="K293" s="19"/>
      <c r="L293" s="19"/>
      <c r="M293" s="19"/>
      <c r="N293" s="19"/>
    </row>
    <row r="294" spans="11:14">
      <c r="K294" s="19"/>
      <c r="L294" s="19"/>
      <c r="M294" s="19"/>
      <c r="N294" s="19"/>
    </row>
    <row r="295" spans="11:14">
      <c r="K295" s="19"/>
      <c r="L295" s="19"/>
      <c r="M295" s="19"/>
      <c r="N295" s="19"/>
    </row>
    <row r="296" spans="11:14">
      <c r="K296" s="19"/>
      <c r="L296" s="19"/>
      <c r="M296" s="19"/>
      <c r="N296" s="19"/>
    </row>
    <row r="297" spans="11:14">
      <c r="K297" s="19"/>
      <c r="L297" s="19"/>
      <c r="M297" s="19"/>
      <c r="N297" s="19"/>
    </row>
    <row r="298" spans="11:14">
      <c r="K298" s="19"/>
      <c r="L298" s="19"/>
      <c r="M298" s="19"/>
      <c r="N298" s="19"/>
    </row>
    <row r="299" spans="11:14">
      <c r="K299" s="19"/>
      <c r="L299" s="19"/>
      <c r="M299" s="19"/>
      <c r="N299" s="19"/>
    </row>
    <row r="300" spans="11:14">
      <c r="K300" s="19"/>
      <c r="L300" s="19"/>
      <c r="M300" s="19"/>
      <c r="N300" s="19"/>
    </row>
    <row r="301" spans="11:14">
      <c r="K301" s="19"/>
      <c r="L301" s="19"/>
      <c r="M301" s="19"/>
      <c r="N301" s="19"/>
    </row>
    <row r="302" spans="11:14">
      <c r="K302" s="19"/>
      <c r="L302" s="19"/>
      <c r="M302" s="19"/>
      <c r="N302" s="19"/>
    </row>
    <row r="303" spans="11:14">
      <c r="K303" s="19"/>
      <c r="L303" s="19"/>
      <c r="M303" s="19"/>
      <c r="N303" s="19"/>
    </row>
    <row r="304" spans="11:14">
      <c r="K304" s="19"/>
      <c r="L304" s="19"/>
      <c r="M304" s="19"/>
      <c r="N304" s="19"/>
    </row>
    <row r="305" spans="11:14">
      <c r="K305" s="19"/>
      <c r="L305" s="19"/>
      <c r="M305" s="19"/>
      <c r="N305" s="19"/>
    </row>
    <row r="306" spans="11:14">
      <c r="K306" s="19"/>
      <c r="L306" s="19"/>
      <c r="M306" s="19"/>
      <c r="N306" s="19"/>
    </row>
    <row r="307" spans="11:14">
      <c r="K307" s="19"/>
      <c r="L307" s="19"/>
      <c r="M307" s="19"/>
      <c r="N307" s="19"/>
    </row>
    <row r="308" spans="11:14">
      <c r="K308" s="19"/>
      <c r="L308" s="19"/>
      <c r="M308" s="19"/>
      <c r="N308" s="19"/>
    </row>
    <row r="309" spans="11:14">
      <c r="K309" s="19"/>
      <c r="L309" s="19"/>
      <c r="M309" s="19"/>
      <c r="N309" s="19"/>
    </row>
    <row r="310" spans="11:14">
      <c r="K310" s="19"/>
      <c r="L310" s="19"/>
      <c r="M310" s="19"/>
      <c r="N310" s="19"/>
    </row>
    <row r="311" spans="11:14">
      <c r="K311" s="19"/>
      <c r="L311" s="19"/>
      <c r="M311" s="19"/>
      <c r="N311" s="19"/>
    </row>
    <row r="312" spans="11:14">
      <c r="K312" s="19"/>
      <c r="L312" s="19"/>
      <c r="M312" s="19"/>
      <c r="N312" s="19"/>
    </row>
    <row r="313" spans="11:14">
      <c r="K313" s="19"/>
      <c r="L313" s="19"/>
      <c r="M313" s="19"/>
      <c r="N313" s="19"/>
    </row>
    <row r="314" spans="11:14">
      <c r="K314" s="19"/>
      <c r="L314" s="19"/>
      <c r="M314" s="19"/>
      <c r="N314" s="19"/>
    </row>
    <row r="315" spans="11:14">
      <c r="K315" s="19"/>
      <c r="L315" s="19"/>
      <c r="M315" s="19"/>
      <c r="N315" s="19"/>
    </row>
    <row r="316" spans="11:14">
      <c r="K316" s="19"/>
      <c r="L316" s="19"/>
      <c r="M316" s="19"/>
      <c r="N316" s="19"/>
    </row>
    <row r="317" spans="11:14">
      <c r="K317" s="19"/>
      <c r="L317" s="19"/>
      <c r="M317" s="19"/>
      <c r="N317" s="19"/>
    </row>
    <row r="318" spans="11:14">
      <c r="K318" s="19"/>
      <c r="L318" s="19"/>
      <c r="M318" s="19"/>
      <c r="N318" s="19"/>
    </row>
    <row r="319" spans="11:14">
      <c r="K319" s="19"/>
      <c r="L319" s="19"/>
      <c r="M319" s="19"/>
      <c r="N319" s="19"/>
    </row>
    <row r="320" spans="11:14">
      <c r="K320" s="19"/>
      <c r="L320" s="19"/>
      <c r="M320" s="19"/>
      <c r="N320" s="19"/>
    </row>
    <row r="321" spans="11:14">
      <c r="K321" s="19"/>
      <c r="L321" s="19"/>
      <c r="M321" s="19"/>
      <c r="N321" s="19"/>
    </row>
    <row r="322" spans="11:14">
      <c r="K322" s="19"/>
      <c r="L322" s="19"/>
      <c r="M322" s="19"/>
      <c r="N322" s="19"/>
    </row>
    <row r="323" spans="11:14">
      <c r="K323" s="19"/>
      <c r="L323" s="19"/>
      <c r="M323" s="19"/>
      <c r="N323" s="19"/>
    </row>
    <row r="324" spans="11:14">
      <c r="K324" s="19"/>
      <c r="L324" s="19"/>
      <c r="M324" s="19"/>
      <c r="N324" s="19"/>
    </row>
    <row r="325" spans="11:14">
      <c r="K325" s="19"/>
      <c r="L325" s="19"/>
      <c r="M325" s="19"/>
      <c r="N325" s="19"/>
    </row>
    <row r="326" spans="11:14">
      <c r="K326" s="19"/>
      <c r="L326" s="19"/>
      <c r="M326" s="19"/>
      <c r="N326" s="19"/>
    </row>
    <row r="327" spans="11:14">
      <c r="K327" s="19"/>
      <c r="L327" s="19"/>
      <c r="M327" s="19"/>
      <c r="N327" s="19"/>
    </row>
    <row r="328" spans="11:14">
      <c r="K328" s="19"/>
      <c r="L328" s="19"/>
      <c r="M328" s="19"/>
      <c r="N328" s="19"/>
    </row>
    <row r="329" spans="11:14">
      <c r="K329" s="19"/>
      <c r="L329" s="19"/>
      <c r="M329" s="19"/>
      <c r="N329" s="19"/>
    </row>
    <row r="330" spans="11:14">
      <c r="K330" s="19"/>
      <c r="L330" s="19"/>
      <c r="M330" s="19"/>
      <c r="N330" s="19"/>
    </row>
    <row r="331" spans="11:14">
      <c r="K331" s="19"/>
      <c r="L331" s="19"/>
      <c r="M331" s="19"/>
      <c r="N331" s="19"/>
    </row>
    <row r="332" spans="11:14">
      <c r="K332" s="19"/>
      <c r="L332" s="19"/>
      <c r="M332" s="19"/>
      <c r="N332" s="19"/>
    </row>
    <row r="333" spans="11:14">
      <c r="K333" s="19"/>
      <c r="L333" s="19"/>
      <c r="M333" s="19"/>
      <c r="N333" s="19"/>
    </row>
    <row r="334" spans="11:14">
      <c r="K334" s="19"/>
      <c r="L334" s="19"/>
      <c r="M334" s="19"/>
      <c r="N334" s="19"/>
    </row>
    <row r="335" spans="11:14">
      <c r="K335" s="19"/>
      <c r="L335" s="19"/>
      <c r="M335" s="19"/>
      <c r="N335" s="19"/>
    </row>
    <row r="336" spans="11:14">
      <c r="K336" s="19"/>
      <c r="L336" s="19"/>
      <c r="M336" s="19"/>
      <c r="N336" s="19"/>
    </row>
    <row r="337" spans="11:14">
      <c r="K337" s="19"/>
      <c r="L337" s="19"/>
      <c r="M337" s="19"/>
      <c r="N337" s="19"/>
    </row>
    <row r="338" spans="11:14">
      <c r="K338" s="19"/>
      <c r="L338" s="19"/>
      <c r="M338" s="19"/>
      <c r="N338" s="19"/>
    </row>
    <row r="339" spans="11:14">
      <c r="K339" s="19"/>
      <c r="L339" s="19"/>
      <c r="M339" s="19"/>
      <c r="N339" s="19"/>
    </row>
    <row r="340" spans="11:14">
      <c r="K340" s="19"/>
      <c r="L340" s="19"/>
      <c r="M340" s="19"/>
      <c r="N340" s="19"/>
    </row>
    <row r="341" spans="11:14">
      <c r="K341" s="19"/>
      <c r="L341" s="19"/>
      <c r="M341" s="19"/>
      <c r="N341" s="19"/>
    </row>
    <row r="342" spans="11:14">
      <c r="K342" s="19"/>
      <c r="L342" s="19"/>
      <c r="M342" s="19"/>
      <c r="N342" s="19"/>
    </row>
    <row r="343" spans="11:14">
      <c r="K343" s="19"/>
      <c r="L343" s="19"/>
      <c r="M343" s="19"/>
      <c r="N343" s="19"/>
    </row>
    <row r="344" spans="11:14">
      <c r="K344" s="19"/>
      <c r="L344" s="19"/>
      <c r="M344" s="19"/>
      <c r="N344" s="19"/>
    </row>
    <row r="345" spans="11:14">
      <c r="K345" s="19"/>
      <c r="L345" s="19"/>
      <c r="M345" s="19"/>
      <c r="N345" s="19"/>
    </row>
    <row r="346" spans="11:14">
      <c r="K346" s="19"/>
      <c r="L346" s="19"/>
      <c r="M346" s="19"/>
      <c r="N346" s="19"/>
    </row>
    <row r="347" spans="11:14">
      <c r="K347" s="19"/>
      <c r="L347" s="19"/>
      <c r="M347" s="19"/>
      <c r="N347" s="19"/>
    </row>
    <row r="348" spans="11:14">
      <c r="K348" s="19"/>
      <c r="L348" s="19"/>
      <c r="M348" s="19"/>
      <c r="N348" s="19"/>
    </row>
    <row r="349" spans="11:14">
      <c r="K349" s="19"/>
      <c r="L349" s="19"/>
      <c r="M349" s="19"/>
      <c r="N349" s="19"/>
    </row>
    <row r="350" spans="11:14">
      <c r="K350" s="19"/>
      <c r="L350" s="19"/>
      <c r="M350" s="19"/>
      <c r="N350" s="19"/>
    </row>
    <row r="351" spans="11:14">
      <c r="K351" s="19"/>
      <c r="L351" s="19"/>
      <c r="M351" s="19"/>
      <c r="N351" s="19"/>
    </row>
    <row r="352" spans="11:14">
      <c r="K352" s="19"/>
      <c r="L352" s="19"/>
      <c r="M352" s="19"/>
      <c r="N352" s="19"/>
    </row>
    <row r="353" spans="11:14">
      <c r="K353" s="19"/>
      <c r="L353" s="19"/>
      <c r="M353" s="19"/>
      <c r="N353" s="19"/>
    </row>
    <row r="354" spans="11:14">
      <c r="K354" s="19"/>
      <c r="L354" s="19"/>
      <c r="M354" s="19"/>
      <c r="N354" s="19"/>
    </row>
    <row r="355" spans="11:14">
      <c r="K355" s="19"/>
      <c r="L355" s="19"/>
      <c r="M355" s="19"/>
      <c r="N355" s="19"/>
    </row>
    <row r="356" spans="11:14">
      <c r="K356" s="19"/>
      <c r="L356" s="19"/>
      <c r="M356" s="19"/>
      <c r="N356" s="19"/>
    </row>
    <row r="357" spans="11:14">
      <c r="K357" s="19"/>
      <c r="L357" s="19"/>
      <c r="M357" s="19"/>
      <c r="N357" s="19"/>
    </row>
    <row r="358" spans="11:14">
      <c r="K358" s="19"/>
      <c r="L358" s="19"/>
      <c r="M358" s="19"/>
      <c r="N358" s="19"/>
    </row>
    <row r="359" spans="11:14">
      <c r="K359" s="19"/>
      <c r="L359" s="19"/>
      <c r="M359" s="19"/>
      <c r="N359" s="19"/>
    </row>
    <row r="360" spans="11:14">
      <c r="K360" s="19"/>
      <c r="L360" s="19"/>
      <c r="M360" s="19"/>
      <c r="N360" s="19"/>
    </row>
    <row r="361" spans="11:14">
      <c r="K361" s="19"/>
      <c r="L361" s="19"/>
      <c r="M361" s="19"/>
      <c r="N361" s="19"/>
    </row>
    <row r="362" spans="11:14">
      <c r="K362" s="19"/>
      <c r="L362" s="19"/>
      <c r="M362" s="19"/>
      <c r="N362" s="19"/>
    </row>
    <row r="363" spans="11:14">
      <c r="K363" s="19"/>
      <c r="L363" s="19"/>
      <c r="M363" s="19"/>
      <c r="N363" s="19"/>
    </row>
    <row r="364" spans="11:14">
      <c r="K364" s="19"/>
      <c r="L364" s="19"/>
      <c r="M364" s="19"/>
      <c r="N364" s="19"/>
    </row>
    <row r="365" spans="11:14">
      <c r="K365" s="19"/>
      <c r="L365" s="19"/>
      <c r="M365" s="19"/>
      <c r="N365" s="19"/>
    </row>
    <row r="366" spans="11:14">
      <c r="K366" s="19"/>
      <c r="L366" s="19"/>
      <c r="M366" s="19"/>
      <c r="N366" s="19"/>
    </row>
    <row r="367" spans="11:14">
      <c r="K367" s="19"/>
      <c r="L367" s="19"/>
      <c r="M367" s="19"/>
      <c r="N367" s="19"/>
    </row>
    <row r="368" spans="11:14">
      <c r="K368" s="19"/>
      <c r="L368" s="19"/>
      <c r="M368" s="19"/>
      <c r="N368" s="19"/>
    </row>
    <row r="369" spans="11:14">
      <c r="K369" s="19"/>
      <c r="L369" s="19"/>
      <c r="M369" s="19"/>
      <c r="N369" s="19"/>
    </row>
    <row r="370" spans="11:14">
      <c r="K370" s="19"/>
      <c r="L370" s="19"/>
      <c r="M370" s="19"/>
      <c r="N370" s="19"/>
    </row>
    <row r="371" spans="11:14">
      <c r="K371" s="19"/>
      <c r="L371" s="19"/>
      <c r="M371" s="19"/>
      <c r="N371" s="19"/>
    </row>
    <row r="372" spans="11:14">
      <c r="K372" s="19"/>
      <c r="L372" s="19"/>
      <c r="M372" s="19"/>
      <c r="N372" s="19"/>
    </row>
    <row r="373" spans="11:14">
      <c r="K373" s="19"/>
      <c r="L373" s="19"/>
      <c r="M373" s="19"/>
      <c r="N373" s="19"/>
    </row>
    <row r="374" spans="11:14">
      <c r="K374" s="19"/>
      <c r="L374" s="19"/>
      <c r="M374" s="19"/>
      <c r="N374" s="19"/>
    </row>
    <row r="375" spans="11:14">
      <c r="K375" s="19"/>
      <c r="L375" s="19"/>
      <c r="M375" s="19"/>
      <c r="N375" s="19"/>
    </row>
    <row r="376" spans="11:14">
      <c r="K376" s="19"/>
      <c r="L376" s="19"/>
      <c r="M376" s="19"/>
      <c r="N376" s="19"/>
    </row>
    <row r="377" spans="11:14">
      <c r="K377" s="19"/>
      <c r="L377" s="19"/>
      <c r="M377" s="19"/>
      <c r="N377" s="19"/>
    </row>
  </sheetData>
  <pageMargins left="0.75" right="0.75" top="1" bottom="1" header="0.5" footer="0.5"/>
  <headerFooter/>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属性规划">
    <tabColor rgb="FFFFFFFF"/>
  </sheetPr>
  <dimension ref="A2:BF152"/>
  <sheetViews>
    <sheetView showGridLines="0" topLeftCell="A46" workbookViewId="0">
      <selection activeCell="H38" sqref="H38"/>
    </sheetView>
  </sheetViews>
  <sheetFormatPr defaultColWidth="10.2857142857143" defaultRowHeight="12.75"/>
  <cols>
    <col min="1" max="1" width="9.71428571428571" customWidth="1"/>
    <col min="2" max="2" width="1.71428571428571" customWidth="1"/>
    <col min="3" max="3" width="9.71428571428571" customWidth="1"/>
    <col min="4" max="28" width="13.4285714285714" customWidth="1"/>
    <col min="29" max="58" width="9.71428571428571" customWidth="1"/>
  </cols>
  <sheetData>
    <row r="2" spans="1:58">
      <c r="A2" s="42"/>
      <c r="B2" s="297"/>
      <c r="C2" s="298" t="s">
        <v>456</v>
      </c>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row>
    <row r="3" spans="1:58">
      <c r="A3" s="42"/>
      <c r="B3" s="42"/>
      <c r="C3" s="42"/>
      <c r="D3" s="42"/>
      <c r="E3" s="42"/>
      <c r="F3" s="42"/>
      <c r="G3" s="42"/>
      <c r="H3" s="42"/>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row>
    <row r="4" spans="1:58">
      <c r="A4" s="42"/>
      <c r="B4" s="42"/>
      <c r="C4" s="42"/>
      <c r="D4" s="299" t="s">
        <v>457</v>
      </c>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row>
    <row r="5" spans="1:58">
      <c r="A5" s="42"/>
      <c r="B5" s="42"/>
      <c r="C5" s="42"/>
      <c r="D5" s="42"/>
      <c r="H5" s="42"/>
      <c r="I5" s="42"/>
      <c r="J5" s="42"/>
      <c r="K5" s="42"/>
      <c r="L5" s="42"/>
      <c r="M5" s="42"/>
      <c r="N5" s="42"/>
      <c r="O5" s="42"/>
      <c r="P5" s="42"/>
      <c r="Q5" s="298"/>
      <c r="R5" s="298"/>
      <c r="S5" s="300"/>
      <c r="T5" s="300"/>
      <c r="U5" s="300"/>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row>
    <row r="6" ht="16.5" spans="1:58">
      <c r="A6" s="42"/>
      <c r="B6" s="42"/>
      <c r="C6" s="42"/>
      <c r="D6" s="42"/>
      <c r="F6" s="271" t="s">
        <v>458</v>
      </c>
      <c r="G6" s="271" t="s">
        <v>459</v>
      </c>
      <c r="H6" s="271"/>
      <c r="I6" s="271" t="s">
        <v>460</v>
      </c>
      <c r="J6" s="271"/>
      <c r="K6" s="271" t="s">
        <v>461</v>
      </c>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row>
    <row r="7" ht="16.5" spans="1:58">
      <c r="A7" s="42"/>
      <c r="B7" s="42"/>
      <c r="C7" s="42"/>
      <c r="D7" s="275" t="s">
        <v>296</v>
      </c>
      <c r="E7" s="275" t="s">
        <v>462</v>
      </c>
      <c r="F7" s="275" t="s">
        <v>179</v>
      </c>
      <c r="G7" s="275" t="s">
        <v>180</v>
      </c>
      <c r="H7" s="275" t="s">
        <v>181</v>
      </c>
      <c r="I7" s="275" t="s">
        <v>463</v>
      </c>
      <c r="J7" s="275" t="s">
        <v>182</v>
      </c>
      <c r="K7" s="275" t="s">
        <v>464</v>
      </c>
      <c r="P7" s="42"/>
      <c r="Q7" s="42"/>
      <c r="R7" s="42"/>
      <c r="S7" s="300"/>
      <c r="T7" s="300"/>
      <c r="U7" s="300"/>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row>
    <row r="8" ht="16.5" spans="1:58">
      <c r="A8" s="42"/>
      <c r="B8" s="42"/>
      <c r="C8" s="42"/>
      <c r="D8" s="25">
        <v>1</v>
      </c>
      <c r="E8" s="25" t="s">
        <v>465</v>
      </c>
      <c r="F8" s="301">
        <f>1-SUM(G8:J8)</f>
        <v>0.4</v>
      </c>
      <c r="G8" s="35">
        <v>0.35</v>
      </c>
      <c r="H8" s="35">
        <v>0.2</v>
      </c>
      <c r="I8" s="35"/>
      <c r="J8" s="35">
        <v>0.05</v>
      </c>
      <c r="K8" s="35">
        <v>0.2</v>
      </c>
      <c r="L8" s="42"/>
      <c r="M8" s="42"/>
      <c r="N8" s="42"/>
      <c r="P8" s="42"/>
      <c r="Q8" s="42"/>
      <c r="R8" s="42"/>
      <c r="S8" s="300"/>
      <c r="T8" s="300"/>
      <c r="U8" s="300"/>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row>
    <row r="9" ht="16.5" spans="1:58">
      <c r="A9" s="42"/>
      <c r="B9" s="42"/>
      <c r="C9" s="42"/>
      <c r="D9" s="25">
        <v>2</v>
      </c>
      <c r="E9" s="25" t="s">
        <v>465</v>
      </c>
      <c r="F9" s="301">
        <f t="shared" ref="F9:F21" si="0">1-SUM(G9:J9)</f>
        <v>0.4</v>
      </c>
      <c r="G9" s="35">
        <v>0.35</v>
      </c>
      <c r="H9" s="35">
        <v>0.2</v>
      </c>
      <c r="I9" s="35"/>
      <c r="J9" s="35">
        <v>0.05</v>
      </c>
      <c r="K9" s="35">
        <v>0.2</v>
      </c>
      <c r="L9" s="42"/>
      <c r="M9" s="42"/>
      <c r="N9" s="42"/>
      <c r="P9" s="42"/>
      <c r="Q9" s="42"/>
      <c r="R9" s="42"/>
      <c r="S9" s="300"/>
      <c r="T9" s="300"/>
      <c r="U9" s="300"/>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row>
    <row r="10" ht="16.5" spans="1:58">
      <c r="A10" s="42"/>
      <c r="B10" s="42"/>
      <c r="C10" s="42"/>
      <c r="D10" s="25">
        <v>3</v>
      </c>
      <c r="E10" s="25" t="s">
        <v>465</v>
      </c>
      <c r="F10" s="301">
        <f t="shared" si="0"/>
        <v>0.35</v>
      </c>
      <c r="G10" s="35">
        <v>0.35</v>
      </c>
      <c r="H10" s="35">
        <v>0.2</v>
      </c>
      <c r="I10" s="35">
        <v>0.05</v>
      </c>
      <c r="J10" s="35">
        <v>0.05</v>
      </c>
      <c r="K10" s="35">
        <v>0.2</v>
      </c>
      <c r="L10" s="42"/>
      <c r="M10" s="42"/>
      <c r="N10" s="42"/>
      <c r="P10" s="42"/>
      <c r="Q10" s="42"/>
      <c r="R10" s="42"/>
      <c r="S10" s="300"/>
      <c r="T10" s="300"/>
      <c r="U10" s="300"/>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row>
    <row r="11" ht="16.5" spans="1:58">
      <c r="A11" s="42"/>
      <c r="B11" s="42"/>
      <c r="C11" s="42"/>
      <c r="D11" s="25">
        <v>5</v>
      </c>
      <c r="E11" s="25" t="s">
        <v>465</v>
      </c>
      <c r="F11" s="301">
        <f t="shared" si="0"/>
        <v>0.35</v>
      </c>
      <c r="G11" s="35">
        <v>0.35</v>
      </c>
      <c r="H11" s="35">
        <v>0.2</v>
      </c>
      <c r="I11" s="35">
        <v>0.05</v>
      </c>
      <c r="J11" s="35">
        <v>0.05</v>
      </c>
      <c r="K11" s="35">
        <v>0.2</v>
      </c>
      <c r="L11" s="42"/>
      <c r="M11" s="42"/>
      <c r="N11" s="42"/>
      <c r="P11" s="42"/>
      <c r="Q11" s="42"/>
      <c r="R11" s="42"/>
      <c r="S11" s="300"/>
      <c r="T11" s="300"/>
      <c r="U11" s="300"/>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row>
    <row r="12" ht="16.5" spans="1:58">
      <c r="D12" s="25">
        <v>7</v>
      </c>
      <c r="E12" s="25" t="s">
        <v>465</v>
      </c>
      <c r="F12" s="301">
        <f t="shared" si="0"/>
        <v>0.35</v>
      </c>
      <c r="G12" s="35">
        <v>0.32</v>
      </c>
      <c r="H12" s="35">
        <v>0.2</v>
      </c>
      <c r="I12" s="35">
        <v>0.08</v>
      </c>
      <c r="J12" s="35">
        <v>0.05</v>
      </c>
      <c r="K12" s="35">
        <v>0.2</v>
      </c>
      <c r="L12" s="42"/>
      <c r="M12" s="42"/>
      <c r="N12" s="42"/>
    </row>
    <row r="13" ht="16.5" spans="1:58">
      <c r="D13" s="25">
        <v>10</v>
      </c>
      <c r="E13" s="28" t="s">
        <v>466</v>
      </c>
      <c r="F13" s="301">
        <f t="shared" si="0"/>
        <v>0.33</v>
      </c>
      <c r="G13" s="302">
        <v>0.32</v>
      </c>
      <c r="H13" s="35">
        <v>0.22</v>
      </c>
      <c r="I13" s="35">
        <v>0.08</v>
      </c>
      <c r="J13" s="35">
        <v>0.05</v>
      </c>
      <c r="K13" s="35">
        <v>0.2</v>
      </c>
      <c r="L13" s="42"/>
      <c r="M13" s="42"/>
      <c r="N13" s="42"/>
    </row>
    <row r="14" ht="16.5" spans="1:58">
      <c r="D14" s="25">
        <v>14</v>
      </c>
      <c r="E14" s="25" t="s">
        <v>467</v>
      </c>
      <c r="F14" s="301">
        <f t="shared" si="0"/>
        <v>0.32</v>
      </c>
      <c r="G14" s="302">
        <v>0.32</v>
      </c>
      <c r="H14" s="302">
        <v>0.23</v>
      </c>
      <c r="I14" s="35">
        <v>0.08</v>
      </c>
      <c r="J14" s="35">
        <v>0.05</v>
      </c>
      <c r="K14" s="35">
        <v>0.2</v>
      </c>
      <c r="L14" s="42"/>
      <c r="M14" s="42"/>
      <c r="N14" s="42"/>
    </row>
    <row r="15" ht="16.5" spans="1:58">
      <c r="D15" s="25">
        <v>20</v>
      </c>
      <c r="E15" s="25" t="s">
        <v>468</v>
      </c>
      <c r="F15" s="301">
        <f t="shared" si="0"/>
        <v>0.3</v>
      </c>
      <c r="G15" s="35">
        <v>0.3</v>
      </c>
      <c r="H15" s="302">
        <v>0.27</v>
      </c>
      <c r="I15" s="302">
        <v>0.08</v>
      </c>
      <c r="J15" s="35">
        <v>0.05</v>
      </c>
      <c r="K15" s="35">
        <v>0.2</v>
      </c>
      <c r="L15" s="42"/>
      <c r="M15" s="42"/>
      <c r="N15" s="42"/>
    </row>
    <row r="16" ht="16.5" spans="1:58">
      <c r="D16" s="25">
        <v>27</v>
      </c>
      <c r="E16" s="25" t="s">
        <v>466</v>
      </c>
      <c r="F16" s="301">
        <f t="shared" si="0"/>
        <v>0.3</v>
      </c>
      <c r="G16" s="35">
        <v>0.27</v>
      </c>
      <c r="H16" s="35">
        <v>0.28</v>
      </c>
      <c r="I16" s="302">
        <v>0.1</v>
      </c>
      <c r="J16" s="35">
        <v>0.05</v>
      </c>
      <c r="K16" s="35">
        <v>0.2</v>
      </c>
      <c r="L16" s="42"/>
      <c r="M16" s="42"/>
      <c r="N16" s="42"/>
    </row>
    <row r="17" ht="16.5" spans="4:14">
      <c r="D17" s="25">
        <v>34</v>
      </c>
      <c r="E17" s="25" t="s">
        <v>467</v>
      </c>
      <c r="F17" s="301">
        <f t="shared" si="0"/>
        <v>0.3</v>
      </c>
      <c r="G17" s="35">
        <v>0.27</v>
      </c>
      <c r="H17" s="35">
        <v>0.28</v>
      </c>
      <c r="I17" s="35">
        <v>0.1</v>
      </c>
      <c r="J17" s="35">
        <v>0.05</v>
      </c>
      <c r="K17" s="35">
        <v>0.2</v>
      </c>
      <c r="L17" s="42"/>
      <c r="M17" s="42"/>
      <c r="N17" s="42"/>
    </row>
    <row r="18" ht="16.5" spans="4:14">
      <c r="D18" s="25">
        <v>41</v>
      </c>
      <c r="E18" s="25" t="s">
        <v>468</v>
      </c>
      <c r="F18" s="301">
        <f t="shared" si="0"/>
        <v>0.3</v>
      </c>
      <c r="G18" s="35">
        <v>0.25</v>
      </c>
      <c r="H18" s="35">
        <v>0.3</v>
      </c>
      <c r="I18" s="35">
        <v>0.1</v>
      </c>
      <c r="J18" s="35">
        <v>0.05</v>
      </c>
      <c r="K18" s="35">
        <v>0.2</v>
      </c>
      <c r="L18" s="42"/>
      <c r="M18" s="42"/>
      <c r="N18" s="42"/>
    </row>
    <row r="19" ht="16.5" spans="4:14">
      <c r="D19" s="25">
        <v>48</v>
      </c>
      <c r="E19" s="25" t="s">
        <v>469</v>
      </c>
      <c r="F19" s="301">
        <f t="shared" si="0"/>
        <v>0.3</v>
      </c>
      <c r="G19" s="35">
        <v>0.25</v>
      </c>
      <c r="H19" s="35">
        <v>0.3</v>
      </c>
      <c r="I19" s="35">
        <v>0.1</v>
      </c>
      <c r="J19" s="35">
        <v>0.05</v>
      </c>
      <c r="K19" s="35">
        <v>0.2</v>
      </c>
      <c r="L19" s="42"/>
      <c r="M19" s="42"/>
      <c r="N19" s="42"/>
    </row>
    <row r="20" ht="16.5" spans="4:14">
      <c r="D20" s="25">
        <v>55</v>
      </c>
      <c r="E20" s="25"/>
      <c r="F20" s="301">
        <f t="shared" si="0"/>
        <v>0.3</v>
      </c>
      <c r="G20" s="35">
        <v>0.25</v>
      </c>
      <c r="H20" s="35">
        <v>0.3</v>
      </c>
      <c r="I20" s="35">
        <v>0.1</v>
      </c>
      <c r="J20" s="35">
        <v>0.05</v>
      </c>
      <c r="K20" s="35">
        <v>0.2</v>
      </c>
      <c r="L20" s="42"/>
      <c r="M20" s="42"/>
      <c r="N20" s="42"/>
    </row>
    <row r="21" ht="16.5" spans="4:14">
      <c r="D21" s="25">
        <v>62</v>
      </c>
      <c r="E21" s="25"/>
      <c r="F21" s="301">
        <f t="shared" si="0"/>
        <v>0.3</v>
      </c>
      <c r="G21" s="35">
        <v>0.25</v>
      </c>
      <c r="H21" s="35">
        <v>0.3</v>
      </c>
      <c r="I21" s="35">
        <v>0.1</v>
      </c>
      <c r="J21" s="35">
        <v>0.05</v>
      </c>
      <c r="K21" s="35">
        <v>0.2</v>
      </c>
      <c r="L21" s="42"/>
      <c r="M21" s="42"/>
      <c r="N21" s="42"/>
    </row>
    <row r="24" spans="4:14">
      <c r="D24" s="299" t="s">
        <v>470</v>
      </c>
    </row>
    <row r="26" ht="16.5" spans="4:14">
      <c r="D26" s="275" t="s">
        <v>471</v>
      </c>
      <c r="E26" s="275" t="s">
        <v>472</v>
      </c>
      <c r="F26" s="275" t="s">
        <v>473</v>
      </c>
      <c r="G26" s="275" t="s">
        <v>474</v>
      </c>
      <c r="H26" s="275" t="s">
        <v>475</v>
      </c>
      <c r="I26" s="275" t="s">
        <v>476</v>
      </c>
    </row>
    <row r="27" ht="16.5" spans="4:14">
      <c r="D27" s="207" t="s">
        <v>477</v>
      </c>
      <c r="E27" s="25" t="s">
        <v>478</v>
      </c>
      <c r="F27" s="303">
        <f ca="1">OFFSET($F$58,0,J27)</f>
        <v>450</v>
      </c>
      <c r="G27" s="304">
        <f ca="1">OFFSET($F$76,0,J27)</f>
        <v>1500</v>
      </c>
      <c r="H27" s="303">
        <f ca="1" t="shared" ref="H27:H35" si="1">OFFSET($F$80,0,J27)</f>
        <v>15.376354745643</v>
      </c>
      <c r="I27" s="305">
        <f ca="1">SUM(H27:H28)/SUM($H$27:$H$42)*0.95</f>
        <v>0.497026812787454</v>
      </c>
      <c r="J27" s="306">
        <v>1</v>
      </c>
    </row>
    <row r="28" ht="16.5" spans="4:14">
      <c r="D28" s="28"/>
      <c r="E28" s="25" t="s">
        <v>479</v>
      </c>
      <c r="F28" s="307">
        <f ca="1" t="shared" ref="F28:F42" si="2">OFFSET($F$58,0,J28)</f>
        <v>1</v>
      </c>
      <c r="G28" s="307">
        <f ca="1">OFFSET($F$76,0,J28)</f>
        <v>1.2</v>
      </c>
      <c r="H28" s="303">
        <f ca="1" t="shared" si="1"/>
        <v>3.15333036017073</v>
      </c>
      <c r="I28" s="308"/>
      <c r="J28" s="306">
        <v>2</v>
      </c>
    </row>
    <row r="29" ht="16.5" spans="4:14">
      <c r="D29" s="207" t="s">
        <v>480</v>
      </c>
      <c r="E29" s="25" t="s">
        <v>481</v>
      </c>
      <c r="F29" s="307">
        <f ca="1" t="shared" si="2"/>
        <v>1.15</v>
      </c>
      <c r="G29" s="307">
        <f ca="1" t="shared" ref="G29:G42" si="3">OFFSET($F$76,0,J29)</f>
        <v>1.35</v>
      </c>
      <c r="H29" s="303">
        <f ca="1" t="shared" si="1"/>
        <v>2.42474884256039</v>
      </c>
      <c r="I29" s="305">
        <f ca="1">SUM(H29:H33)/SUM($H$27:$H$42)*0.95</f>
        <v>0.140425432132771</v>
      </c>
      <c r="J29" s="306">
        <v>3</v>
      </c>
    </row>
    <row r="30" ht="16.5" spans="4:14">
      <c r="D30" s="211"/>
      <c r="E30" s="25" t="s">
        <v>482</v>
      </c>
      <c r="F30" s="307">
        <f ca="1" t="shared" si="2"/>
        <v>1</v>
      </c>
      <c r="G30" s="307">
        <f ca="1" t="shared" si="3"/>
        <v>1</v>
      </c>
      <c r="H30" s="303">
        <f ca="1" t="shared" si="1"/>
        <v>0</v>
      </c>
      <c r="I30" s="309"/>
      <c r="J30" s="306">
        <v>4</v>
      </c>
    </row>
    <row r="31" ht="16.5" spans="4:14">
      <c r="D31" s="211"/>
      <c r="E31" s="25" t="s">
        <v>483</v>
      </c>
      <c r="F31" s="307">
        <f ca="1" t="shared" si="2"/>
        <v>1</v>
      </c>
      <c r="G31" s="307">
        <f ca="1" t="shared" si="3"/>
        <v>1</v>
      </c>
      <c r="H31" s="303">
        <f ca="1" t="shared" si="1"/>
        <v>0</v>
      </c>
      <c r="I31" s="309"/>
      <c r="J31" s="306">
        <v>5</v>
      </c>
    </row>
    <row r="32" ht="16.5" spans="4:14">
      <c r="D32" s="211"/>
      <c r="E32" s="25" t="s">
        <v>402</v>
      </c>
      <c r="F32" s="307">
        <f ca="1" t="shared" si="2"/>
        <v>1</v>
      </c>
      <c r="G32" s="307">
        <f ca="1" t="shared" si="3"/>
        <v>1.1</v>
      </c>
      <c r="H32" s="303">
        <f ca="1" t="shared" si="1"/>
        <v>1.64843087616875</v>
      </c>
      <c r="I32" s="309"/>
      <c r="J32" s="306">
        <v>6</v>
      </c>
    </row>
    <row r="33" ht="16.5" spans="1:26">
      <c r="D33" s="28"/>
      <c r="E33" s="25" t="s">
        <v>189</v>
      </c>
      <c r="F33" s="307">
        <f ca="1" t="shared" si="2"/>
        <v>1.2</v>
      </c>
      <c r="G33" s="307">
        <f ca="1" t="shared" si="3"/>
        <v>1.3</v>
      </c>
      <c r="H33" s="303">
        <f ca="1" t="shared" si="1"/>
        <v>1.16202886825868</v>
      </c>
      <c r="I33" s="308"/>
      <c r="J33" s="306">
        <v>7</v>
      </c>
    </row>
    <row r="34" ht="16.5" spans="1:26">
      <c r="D34" s="207" t="s">
        <v>484</v>
      </c>
      <c r="E34" s="25" t="s">
        <v>403</v>
      </c>
      <c r="F34" s="36">
        <f ca="1" t="shared" si="2"/>
        <v>80</v>
      </c>
      <c r="G34" s="36">
        <f ca="1" t="shared" si="3"/>
        <v>180</v>
      </c>
      <c r="H34" s="303">
        <f ca="1" t="shared" si="1"/>
        <v>1.67500663792987</v>
      </c>
      <c r="I34" s="305">
        <f ca="1">SUM(H34:H39)/SUM(H27:H42)*0.95</f>
        <v>0.312547755079774</v>
      </c>
      <c r="J34" s="306">
        <v>8</v>
      </c>
    </row>
    <row r="35" ht="16.5" spans="1:26">
      <c r="D35" s="211"/>
      <c r="E35" s="25" t="s">
        <v>190</v>
      </c>
      <c r="F35" s="307">
        <f ca="1" t="shared" si="2"/>
        <v>1.16</v>
      </c>
      <c r="G35" s="307">
        <f ca="1" t="shared" si="3"/>
        <v>1.5</v>
      </c>
      <c r="H35" s="303">
        <f ca="1" t="shared" si="1"/>
        <v>3.85496324407865</v>
      </c>
      <c r="I35" s="309"/>
      <c r="J35" s="306">
        <v>9</v>
      </c>
    </row>
    <row r="36" ht="16.5" spans="1:26">
      <c r="D36" s="211"/>
      <c r="E36" s="25" t="s">
        <v>191</v>
      </c>
      <c r="F36" s="307">
        <f ca="1" t="shared" si="2"/>
        <v>1.1</v>
      </c>
      <c r="G36" s="307">
        <f ca="1" t="shared" si="3"/>
        <v>1.8</v>
      </c>
      <c r="H36" s="303"/>
      <c r="I36" s="309"/>
      <c r="J36" s="306">
        <v>10</v>
      </c>
    </row>
    <row r="37" ht="16.5" spans="1:26">
      <c r="D37" s="211"/>
      <c r="E37" s="25" t="s">
        <v>317</v>
      </c>
      <c r="F37" s="307">
        <f ca="1" t="shared" si="2"/>
        <v>1</v>
      </c>
      <c r="G37" s="307">
        <f ca="1" t="shared" si="3"/>
        <v>1.28</v>
      </c>
      <c r="H37" s="303">
        <f ca="1" t="shared" ref="H37:H42" si="4">OFFSET($F$80,0,J37)</f>
        <v>4.26955206034859</v>
      </c>
      <c r="I37" s="309"/>
      <c r="J37" s="306">
        <v>11</v>
      </c>
    </row>
    <row r="38" ht="16.5" spans="1:26">
      <c r="D38" s="211"/>
      <c r="E38" s="25" t="s">
        <v>485</v>
      </c>
      <c r="F38" s="307">
        <f ca="1" t="shared" si="2"/>
        <v>1</v>
      </c>
      <c r="G38" s="307">
        <f ca="1" t="shared" si="3"/>
        <v>1</v>
      </c>
      <c r="H38" s="303">
        <f ca="1" t="shared" si="4"/>
        <v>0</v>
      </c>
      <c r="I38" s="309"/>
      <c r="J38" s="306">
        <v>12</v>
      </c>
    </row>
    <row r="39" ht="16.5" spans="1:26">
      <c r="D39" s="211"/>
      <c r="E39" s="25" t="s">
        <v>406</v>
      </c>
      <c r="F39" s="307">
        <f ca="1" t="shared" si="2"/>
        <v>1.03</v>
      </c>
      <c r="G39" s="307">
        <f ca="1" t="shared" si="3"/>
        <v>1.15</v>
      </c>
      <c r="H39" s="303">
        <f ca="1" t="shared" si="4"/>
        <v>1.85258883548501</v>
      </c>
      <c r="I39" s="309"/>
      <c r="J39" s="306">
        <v>13</v>
      </c>
    </row>
    <row r="40" ht="16.5" spans="1:26">
      <c r="D40" s="211"/>
      <c r="E40" s="25" t="s">
        <v>92</v>
      </c>
      <c r="F40" s="307">
        <f ca="1" t="shared" si="2"/>
        <v>1.6</v>
      </c>
      <c r="G40" s="307">
        <f ca="1" t="shared" si="3"/>
        <v>4</v>
      </c>
      <c r="H40" s="303">
        <f ca="1" t="shared" si="4"/>
        <v>0</v>
      </c>
      <c r="I40" s="309"/>
      <c r="J40" s="306">
        <v>14</v>
      </c>
    </row>
    <row r="41" ht="16.5" spans="1:26">
      <c r="D41" s="28"/>
      <c r="E41" s="25" t="s">
        <v>486</v>
      </c>
      <c r="F41" s="307">
        <f ca="1" t="shared" si="2"/>
        <v>1</v>
      </c>
      <c r="G41" s="307">
        <f ca="1" t="shared" si="3"/>
        <v>1</v>
      </c>
      <c r="H41" s="303">
        <f ca="1" t="shared" si="4"/>
        <v>0</v>
      </c>
      <c r="I41" s="308"/>
      <c r="J41" s="306">
        <v>15</v>
      </c>
    </row>
    <row r="42" ht="16.5" spans="1:26">
      <c r="D42" s="25" t="s">
        <v>487</v>
      </c>
      <c r="E42" s="25" t="s">
        <v>488</v>
      </c>
      <c r="F42" s="303">
        <f ca="1" t="shared" si="2"/>
        <v>0</v>
      </c>
      <c r="G42" s="307">
        <f ca="1" t="shared" si="3"/>
        <v>0</v>
      </c>
      <c r="H42" s="303">
        <f ca="1" t="shared" si="4"/>
        <v>0</v>
      </c>
      <c r="I42" s="35">
        <v>0.05</v>
      </c>
      <c r="J42" s="306">
        <v>16</v>
      </c>
    </row>
    <row r="44" spans="1:26">
      <c r="A44" s="310"/>
    </row>
    <row r="45" ht="16.5" spans="1:26">
      <c r="A45" s="310"/>
      <c r="B45" s="297"/>
      <c r="C45" s="298" t="s">
        <v>489</v>
      </c>
      <c r="D45" s="17"/>
      <c r="E45" s="17"/>
      <c r="F45" s="17"/>
      <c r="G45" s="17"/>
      <c r="H45" s="17"/>
      <c r="I45" s="17"/>
      <c r="J45" s="17"/>
      <c r="K45" s="17"/>
      <c r="L45" s="17"/>
      <c r="M45" s="17"/>
      <c r="N45" s="17"/>
      <c r="O45" s="17"/>
      <c r="V45" s="19"/>
      <c r="W45" s="17"/>
      <c r="X45" s="17"/>
      <c r="Y45" s="17"/>
      <c r="Z45" s="17"/>
    </row>
    <row r="46" ht="16.5" spans="1:26">
      <c r="A46" s="310"/>
      <c r="B46" s="17"/>
      <c r="C46" s="298"/>
      <c r="D46" s="17"/>
      <c r="E46" s="17"/>
      <c r="F46" s="17"/>
      <c r="G46" s="17"/>
      <c r="H46" s="17"/>
      <c r="I46" s="17"/>
      <c r="J46" s="17"/>
      <c r="K46" s="17"/>
      <c r="L46" s="17"/>
      <c r="M46" s="17"/>
      <c r="N46" s="17"/>
      <c r="O46" s="17"/>
      <c r="V46" s="19"/>
      <c r="W46" s="17"/>
      <c r="X46" s="17"/>
      <c r="Y46" s="17"/>
      <c r="Z46" s="17"/>
    </row>
    <row r="47" ht="16.5" spans="1:26">
      <c r="A47" s="310"/>
      <c r="B47" s="17"/>
      <c r="C47" s="298"/>
      <c r="D47" s="17" t="s">
        <v>490</v>
      </c>
      <c r="E47" s="17"/>
      <c r="F47" s="17"/>
      <c r="G47" s="17"/>
      <c r="H47" s="17"/>
      <c r="I47" s="17"/>
      <c r="J47" s="17"/>
      <c r="K47" s="17"/>
      <c r="L47" s="17"/>
      <c r="M47" s="17"/>
      <c r="N47" s="17"/>
      <c r="O47" s="17"/>
      <c r="V47" s="19"/>
      <c r="W47" s="17"/>
      <c r="X47" s="17"/>
      <c r="Y47" s="17"/>
      <c r="Z47" s="17"/>
    </row>
    <row r="48" ht="16.5" spans="1:26">
      <c r="A48" s="310"/>
      <c r="B48" s="17"/>
      <c r="C48" s="298"/>
      <c r="D48" s="17"/>
      <c r="E48" s="17" t="s">
        <v>491</v>
      </c>
      <c r="F48" s="17"/>
      <c r="G48" s="17"/>
      <c r="H48" s="17"/>
      <c r="I48" s="17"/>
      <c r="J48" s="17"/>
      <c r="K48" s="17"/>
      <c r="L48" s="17"/>
      <c r="M48" s="17"/>
      <c r="N48" s="17"/>
      <c r="O48" s="17"/>
      <c r="V48" s="19"/>
      <c r="W48" s="17"/>
      <c r="X48" s="17"/>
      <c r="Y48" s="17"/>
      <c r="Z48" s="17"/>
    </row>
    <row r="49" ht="16.5" spans="1:30">
      <c r="A49" s="310"/>
      <c r="B49" s="17"/>
      <c r="C49" s="17"/>
      <c r="E49" s="17" t="s">
        <v>492</v>
      </c>
      <c r="F49" s="17"/>
      <c r="G49" s="17"/>
      <c r="H49" s="17"/>
      <c r="I49" s="17"/>
      <c r="J49" s="17"/>
      <c r="K49" s="17"/>
      <c r="L49" s="17"/>
      <c r="M49" s="17"/>
      <c r="N49" s="17"/>
      <c r="O49" s="17"/>
      <c r="P49" s="19"/>
      <c r="Q49" s="19"/>
      <c r="R49" s="19"/>
      <c r="S49" s="19"/>
      <c r="T49" s="19"/>
      <c r="U49" s="19"/>
      <c r="V49" s="19"/>
      <c r="W49" s="17"/>
      <c r="X49" s="17"/>
      <c r="Y49" s="17"/>
      <c r="Z49" s="17"/>
    </row>
    <row r="50" ht="16.5" spans="1:30">
      <c r="A50" s="310"/>
      <c r="B50" s="17"/>
      <c r="C50" s="17"/>
      <c r="E50" s="311" t="s">
        <v>493</v>
      </c>
      <c r="F50" s="17"/>
      <c r="G50" s="17"/>
      <c r="H50" s="17"/>
      <c r="I50" s="17"/>
      <c r="J50" s="17"/>
      <c r="K50" s="17"/>
      <c r="L50" s="17"/>
      <c r="M50" s="17"/>
      <c r="N50" s="17"/>
      <c r="O50" s="17"/>
      <c r="P50" s="19"/>
      <c r="Q50" s="19"/>
      <c r="R50" s="19"/>
      <c r="S50" s="19"/>
      <c r="T50" s="19"/>
      <c r="U50" s="19"/>
      <c r="V50" s="19"/>
      <c r="W50" s="17"/>
      <c r="X50" s="17"/>
      <c r="Y50" s="17"/>
      <c r="Z50" s="17"/>
    </row>
    <row r="51" ht="16.5" spans="1:30">
      <c r="A51" s="310"/>
      <c r="B51" s="17"/>
      <c r="C51" s="17"/>
      <c r="E51" s="80" t="s">
        <v>494</v>
      </c>
      <c r="F51" s="17"/>
      <c r="G51" s="17"/>
      <c r="H51" s="17"/>
      <c r="I51" s="17"/>
      <c r="J51" s="17"/>
      <c r="K51" s="17"/>
      <c r="L51" s="17"/>
      <c r="M51" s="17"/>
      <c r="N51" s="17"/>
      <c r="O51" s="17"/>
      <c r="P51" s="19"/>
      <c r="Q51" s="19"/>
      <c r="R51" s="19"/>
      <c r="S51" s="19"/>
      <c r="T51" s="19"/>
      <c r="U51" s="19"/>
      <c r="V51" s="19"/>
      <c r="W51" s="17"/>
      <c r="X51" s="17"/>
      <c r="Y51" s="17"/>
      <c r="Z51" s="17"/>
    </row>
    <row r="52" ht="16.5" spans="1:30">
      <c r="A52" s="310"/>
      <c r="B52" s="17"/>
      <c r="C52" s="17"/>
      <c r="E52" s="312" t="s">
        <v>495</v>
      </c>
      <c r="F52" s="17"/>
      <c r="G52" s="17"/>
      <c r="H52" s="17"/>
      <c r="I52" s="17"/>
      <c r="J52" s="17"/>
      <c r="K52" s="17"/>
      <c r="L52" s="17"/>
      <c r="M52" s="17"/>
      <c r="N52" s="17"/>
      <c r="O52" s="17"/>
      <c r="P52" s="19"/>
      <c r="Q52" s="19"/>
      <c r="R52" s="19"/>
      <c r="S52" s="19"/>
      <c r="T52" s="19"/>
      <c r="U52" s="19"/>
      <c r="V52" s="19"/>
      <c r="W52" s="17"/>
      <c r="X52" s="17"/>
      <c r="Y52" s="17"/>
      <c r="Z52" s="17"/>
    </row>
    <row r="53" ht="16.5" spans="1:30">
      <c r="A53" s="310"/>
      <c r="B53" s="17"/>
      <c r="C53" s="17"/>
      <c r="E53" s="80" t="s">
        <v>496</v>
      </c>
      <c r="F53" s="17"/>
      <c r="G53" s="17"/>
      <c r="H53" s="17"/>
      <c r="I53" s="17"/>
      <c r="J53" s="17"/>
      <c r="K53" s="17"/>
      <c r="L53" s="199"/>
      <c r="M53" s="199"/>
      <c r="N53" s="199"/>
      <c r="O53" s="17"/>
      <c r="P53" s="19"/>
      <c r="Q53" s="19"/>
      <c r="R53" s="19"/>
      <c r="S53" s="19"/>
      <c r="T53" s="19"/>
      <c r="U53" s="19"/>
      <c r="V53" s="19"/>
      <c r="W53" s="17"/>
      <c r="X53" s="17"/>
      <c r="Y53" s="17"/>
      <c r="Z53" s="17"/>
    </row>
    <row r="54" ht="16.5" spans="1:30">
      <c r="A54" s="310"/>
      <c r="B54" s="17"/>
      <c r="C54" s="17"/>
      <c r="E54" s="17" t="s">
        <v>497</v>
      </c>
      <c r="F54" s="17"/>
      <c r="G54" s="17"/>
      <c r="H54" s="17"/>
      <c r="I54" s="17"/>
      <c r="J54" s="17"/>
      <c r="K54" s="17"/>
      <c r="L54" s="17"/>
      <c r="M54" s="17"/>
      <c r="N54" s="17"/>
      <c r="O54" s="17"/>
      <c r="P54" s="19"/>
      <c r="Q54" s="19"/>
      <c r="R54" s="19"/>
      <c r="S54" s="19"/>
      <c r="T54" s="19"/>
      <c r="U54" s="19"/>
      <c r="V54" s="19"/>
      <c r="W54" s="17"/>
      <c r="X54" s="17"/>
      <c r="Y54" s="17"/>
      <c r="Z54" s="17"/>
    </row>
    <row r="55" ht="16.5" spans="1:30">
      <c r="A55" s="310"/>
      <c r="B55" s="17"/>
      <c r="C55" s="17"/>
      <c r="D55" s="17"/>
      <c r="E55" s="17"/>
      <c r="F55" s="17"/>
      <c r="G55" s="17"/>
      <c r="H55" s="17"/>
      <c r="I55" s="17"/>
      <c r="J55" s="17"/>
      <c r="K55" s="17"/>
      <c r="L55" s="17"/>
      <c r="M55" s="17"/>
      <c r="N55" s="17"/>
      <c r="O55" s="19" t="s">
        <v>178</v>
      </c>
      <c r="P55" s="19" t="s">
        <v>178</v>
      </c>
      <c r="Q55" s="19" t="s">
        <v>178</v>
      </c>
      <c r="R55" s="19" t="s">
        <v>178</v>
      </c>
      <c r="S55" s="19" t="s">
        <v>178</v>
      </c>
      <c r="T55" s="19" t="s">
        <v>178</v>
      </c>
      <c r="U55" s="19"/>
      <c r="V55" s="19"/>
      <c r="W55" s="17"/>
      <c r="X55" s="17"/>
      <c r="Y55" s="17"/>
      <c r="Z55" s="17"/>
    </row>
    <row r="56" ht="16.5" spans="1:30">
      <c r="A56" s="310"/>
      <c r="B56" s="17"/>
      <c r="C56" s="17"/>
      <c r="D56" s="313" t="s">
        <v>498</v>
      </c>
      <c r="E56" s="270">
        <v>0.07</v>
      </c>
      <c r="F56" s="271"/>
      <c r="G56" s="273" t="s">
        <v>179</v>
      </c>
      <c r="H56" s="273"/>
      <c r="I56" s="314" t="s">
        <v>180</v>
      </c>
      <c r="J56" s="274"/>
      <c r="K56" s="274"/>
      <c r="L56" s="274"/>
      <c r="M56" s="315"/>
      <c r="N56" s="274" t="s">
        <v>181</v>
      </c>
      <c r="O56" s="274"/>
      <c r="P56" s="274"/>
      <c r="Q56" s="274"/>
      <c r="R56" s="274"/>
      <c r="S56" s="274"/>
      <c r="T56" s="274"/>
      <c r="U56" s="274"/>
      <c r="V56" s="316"/>
      <c r="W56" s="273" t="s">
        <v>499</v>
      </c>
      <c r="X56" s="273"/>
      <c r="Y56" s="273"/>
      <c r="Z56" s="273"/>
      <c r="AA56" s="314" t="s">
        <v>182</v>
      </c>
      <c r="AB56" s="274"/>
      <c r="AC56" s="315"/>
      <c r="AD56" s="317"/>
    </row>
    <row r="57" ht="16.5" spans="1:30">
      <c r="D57" s="275" t="s">
        <v>183</v>
      </c>
      <c r="E57" s="318"/>
      <c r="F57" s="318" t="s">
        <v>185</v>
      </c>
      <c r="G57" s="278" t="s">
        <v>186</v>
      </c>
      <c r="H57" s="278" t="s">
        <v>187</v>
      </c>
      <c r="I57" s="278" t="s">
        <v>399</v>
      </c>
      <c r="J57" s="278" t="s">
        <v>400</v>
      </c>
      <c r="K57" s="278" t="s">
        <v>401</v>
      </c>
      <c r="L57" s="278" t="s">
        <v>402</v>
      </c>
      <c r="M57" s="278" t="s">
        <v>189</v>
      </c>
      <c r="N57" s="278" t="s">
        <v>403</v>
      </c>
      <c r="O57" s="278" t="s">
        <v>190</v>
      </c>
      <c r="P57" s="278" t="s">
        <v>191</v>
      </c>
      <c r="Q57" s="278" t="s">
        <v>404</v>
      </c>
      <c r="R57" s="278" t="s">
        <v>405</v>
      </c>
      <c r="S57" s="278" t="s">
        <v>406</v>
      </c>
      <c r="T57" s="278" t="s">
        <v>92</v>
      </c>
      <c r="U57" s="278" t="s">
        <v>407</v>
      </c>
      <c r="V57" s="278" t="s">
        <v>488</v>
      </c>
      <c r="W57" s="278" t="s">
        <v>500</v>
      </c>
      <c r="X57" s="278" t="s">
        <v>501</v>
      </c>
      <c r="Y57" s="278" t="s">
        <v>502</v>
      </c>
      <c r="Z57" s="278" t="s">
        <v>195</v>
      </c>
      <c r="AA57" s="278" t="s">
        <v>196</v>
      </c>
      <c r="AB57" s="278" t="s">
        <v>188</v>
      </c>
      <c r="AC57" s="278" t="s">
        <v>198</v>
      </c>
    </row>
    <row r="58" ht="16.5" spans="1:30">
      <c r="D58" s="319" t="s">
        <v>503</v>
      </c>
      <c r="E58" s="320"/>
      <c r="F58" s="321">
        <f>(G58+N58)*H58*S58*I58*M58*O58*P58*Q58*R58*U58*K58*J58*L58</f>
        <v>961.264392</v>
      </c>
      <c r="G58" s="321">
        <v>450</v>
      </c>
      <c r="H58" s="320">
        <v>1</v>
      </c>
      <c r="I58" s="320">
        <f>115%</f>
        <v>1.15</v>
      </c>
      <c r="J58" s="320">
        <v>1</v>
      </c>
      <c r="K58" s="320">
        <v>1</v>
      </c>
      <c r="L58" s="320">
        <v>1</v>
      </c>
      <c r="M58" s="320">
        <f>1+5%*4</f>
        <v>1.2</v>
      </c>
      <c r="N58" s="322">
        <v>80</v>
      </c>
      <c r="O58" s="320">
        <v>1.16</v>
      </c>
      <c r="P58" s="320">
        <v>1.1</v>
      </c>
      <c r="Q58" s="320">
        <v>1</v>
      </c>
      <c r="R58" s="320">
        <v>1</v>
      </c>
      <c r="S58" s="320">
        <f>T58*5%+(1-5%)*1</f>
        <v>1.03</v>
      </c>
      <c r="T58" s="320">
        <v>1.6</v>
      </c>
      <c r="U58" s="320">
        <v>1</v>
      </c>
      <c r="V58" s="320"/>
      <c r="W58" s="320"/>
      <c r="X58" s="320"/>
      <c r="Y58" s="320"/>
      <c r="Z58" s="320"/>
      <c r="AA58" s="320"/>
      <c r="AB58" s="320"/>
      <c r="AC58" s="320"/>
    </row>
    <row r="59" ht="16.5" spans="1:30">
      <c r="D59" s="319" t="s">
        <v>200</v>
      </c>
      <c r="E59" s="320"/>
      <c r="F59" s="321">
        <f>F58*1.01</f>
        <v>970.87703592</v>
      </c>
      <c r="G59" s="321">
        <f>G58*1.01</f>
        <v>454.5</v>
      </c>
      <c r="H59" s="320">
        <f>H58+0.01</f>
        <v>1.01</v>
      </c>
      <c r="I59" s="320">
        <f>I58+0.01</f>
        <v>1.16</v>
      </c>
      <c r="J59" s="320">
        <f>J58+1%</f>
        <v>1.01</v>
      </c>
      <c r="K59" s="320">
        <f>K58+0.01</f>
        <v>1.01</v>
      </c>
      <c r="L59" s="320">
        <f>L58+0.01</f>
        <v>1.01</v>
      </c>
      <c r="M59" s="320">
        <f>M58+0.01</f>
        <v>1.21</v>
      </c>
      <c r="N59" s="323">
        <f>N58+N58*0.01</f>
        <v>80.8</v>
      </c>
      <c r="O59" s="320">
        <f>O58+0.01</f>
        <v>1.17</v>
      </c>
      <c r="P59" s="320">
        <f>P58+0.01</f>
        <v>1.11</v>
      </c>
      <c r="Q59" s="320">
        <f>Q58+0.01</f>
        <v>1.01</v>
      </c>
      <c r="R59" s="320">
        <f>R58+0.01</f>
        <v>1.01</v>
      </c>
      <c r="S59" s="320">
        <f>S58+0.01</f>
        <v>1.04</v>
      </c>
      <c r="T59" s="324"/>
      <c r="U59" s="320">
        <v>1.01</v>
      </c>
      <c r="V59" s="320"/>
      <c r="W59" s="320"/>
      <c r="X59" s="320"/>
      <c r="Y59" s="320"/>
      <c r="Z59" s="320"/>
      <c r="AA59" s="320"/>
      <c r="AB59" s="320"/>
      <c r="AC59" s="320"/>
    </row>
    <row r="60" ht="16.5" spans="1:30">
      <c r="D60" s="319" t="s">
        <v>201</v>
      </c>
      <c r="E60" s="321">
        <f>F58/((G58+N58)*H58*(S58)*I58*M58*O58*P58*Q58*R58*U58*J58*K58*L58)</f>
        <v>1</v>
      </c>
      <c r="F60" s="321">
        <f>F59/((G58+N58)*(H58)*S58*I58*M58*P58*O58*Q58*R58*U58*K58*J58*L58)</f>
        <v>1.01</v>
      </c>
      <c r="G60" s="321">
        <f>F58/((G59+N58)*(H58)*S58*I58*M58*P58*O58*Q58*R58*U58*K58*J58*L58)</f>
        <v>0.991580916744621</v>
      </c>
      <c r="H60" s="321">
        <f>F58/((G58+N58)*(H59)*S58*I58*M58*P58*O58*Q58*R58*U58*K58*J58*L58)</f>
        <v>0.99009900990099</v>
      </c>
      <c r="I60" s="321">
        <f>F58/((G58+N58)*(H58)*S58*I59*M58*P58*O58*Q58*R58*U58*K58*J58*L58)</f>
        <v>0.991379310344828</v>
      </c>
      <c r="J60" s="321">
        <f>F58/((G58+N58)*(H58)*S58*I58*M58*P58*O58*Q58*R58*U58*K58*J59*L58)</f>
        <v>0.99009900990099</v>
      </c>
      <c r="K60" s="321">
        <f>F58/((G58+N58)*(H58)*S58*I58*M58*P58*O58*Q58*R58*U58*K59*J58*L58)</f>
        <v>0.99009900990099</v>
      </c>
      <c r="L60" s="321">
        <f>F58/((G58+N58)*(H58)*S58*I58*M58*P58*O58*Q58*R58*U58*K58*J58*L59)</f>
        <v>0.99009900990099</v>
      </c>
      <c r="M60" s="321">
        <f>F58/((G58+N58)*(H58)*S58*I58*M59*P58*O58*Q58*R58*U58*K58*J58*L58)</f>
        <v>0.991735537190083</v>
      </c>
      <c r="N60" s="321">
        <f>F58/((G58+N59)*(H58)*S58*I58*M58*P58*O58*Q58*R58*U58*K58*J58*L58)</f>
        <v>0.998492840994725</v>
      </c>
      <c r="O60" s="321">
        <f>F58/((G58+N58)*(H58)*S58*I58*M58*P58*O59*Q58*R58*U58*K58*J58*L58)</f>
        <v>0.991452991452992</v>
      </c>
      <c r="P60" s="321">
        <f>F58/((G58+N58)*(H58)*S58*I58*M58*P59*O58*Q58*R58*U58*K58*J58*L58)</f>
        <v>0.990990990990991</v>
      </c>
      <c r="Q60" s="321">
        <f>F58/((G58+N58)*(H58)*S58*I58*M58*P58*O58*Q59*R58*U58*K58*J58*L58)</f>
        <v>0.99009900990099</v>
      </c>
      <c r="R60" s="321">
        <f>F58/((G58+N58)*(H58)*S58*I58*M58*P58*O58*Q58*R59*U58*K58*J58*L58)</f>
        <v>0.99009900990099</v>
      </c>
      <c r="S60" s="321">
        <f>F58/((G58+N58)*(H58)*(S59)*I58*M58*P58*O58*Q58*R58*U58*K58*J58*L58)</f>
        <v>0.990384615384616</v>
      </c>
      <c r="T60" s="324"/>
      <c r="U60" s="321">
        <f>F58/((G58+N58)*(H58)*S58*I58*M58*P58*O58*Q58*R58*U59*K58*J58*L58)</f>
        <v>0.99009900990099</v>
      </c>
      <c r="V60" s="321"/>
      <c r="W60" s="321"/>
      <c r="X60" s="321"/>
      <c r="Y60" s="321"/>
      <c r="Z60" s="321"/>
      <c r="AA60" s="321"/>
      <c r="AB60" s="321"/>
      <c r="AC60" s="321"/>
    </row>
    <row r="61" ht="16.5" spans="1:30">
      <c r="D61" s="319" t="s">
        <v>202</v>
      </c>
      <c r="E61" s="320"/>
      <c r="F61" s="321">
        <f>ABS(F60-E60)/ABS(F60-E60)</f>
        <v>1</v>
      </c>
      <c r="G61" s="321">
        <f>ABS(G60-E60)/ABS(F60-E60)</f>
        <v>0.841908325537865</v>
      </c>
      <c r="H61" s="321">
        <f>ABS(H60-E60)/ABS(F60-E60)</f>
        <v>0.990099009900979</v>
      </c>
      <c r="I61" s="321">
        <f>ABS(I60-E60)/ABS(F60-E60)</f>
        <v>0.862068965517215</v>
      </c>
      <c r="J61" s="321">
        <f>ABS(J60-E60)/ABS(F60-E60)</f>
        <v>0.990099009900979</v>
      </c>
      <c r="K61" s="321">
        <f>ABS(K60-E60)/ABS(F60-E60)</f>
        <v>0.990099009900979</v>
      </c>
      <c r="L61" s="321">
        <f>ABS(L60-E60)/ABS(F60-E60)</f>
        <v>0.990099009900979</v>
      </c>
      <c r="M61" s="321">
        <f>ABS(M60-E60)/ABS(F60-E60)</f>
        <v>0.82644628099171</v>
      </c>
      <c r="N61" s="321">
        <f>ABS(N60-E60)/ABS(F60-E60)</f>
        <v>0.150715900527465</v>
      </c>
      <c r="O61" s="321">
        <f>ABS(O60-E60)/ABS(F60-E60)</f>
        <v>0.85470085470084</v>
      </c>
      <c r="P61" s="321">
        <f>ABS(P60-E60)/ABS(F60-E60)</f>
        <v>0.900900900900902</v>
      </c>
      <c r="Q61" s="321">
        <f>ABS(Q60-E60)/ABS(F60-E60)</f>
        <v>0.990099009900979</v>
      </c>
      <c r="R61" s="321">
        <f>ABS(R60-E60)/ABS(F60-E60)</f>
        <v>0.990099009900979</v>
      </c>
      <c r="S61" s="321">
        <f>ABS(S60-E60)/ABS(F60-E60)</f>
        <v>0.961538461538435</v>
      </c>
      <c r="T61" s="325"/>
      <c r="U61" s="321">
        <f>ABS(U60-E60)/ABS(F60-E60)</f>
        <v>0.990099009900979</v>
      </c>
      <c r="V61" s="321"/>
      <c r="W61" s="321"/>
      <c r="X61" s="321"/>
      <c r="Y61" s="321"/>
      <c r="Z61" s="321"/>
      <c r="AA61" s="321"/>
      <c r="AB61" s="321"/>
      <c r="AC61" s="321"/>
    </row>
    <row r="62" ht="16.5" spans="1:30">
      <c r="D62" s="319"/>
      <c r="E62" s="320"/>
      <c r="F62" s="321"/>
      <c r="G62" s="321"/>
      <c r="H62" s="321"/>
      <c r="I62" s="321"/>
      <c r="J62" s="321"/>
      <c r="K62" s="321"/>
      <c r="L62" s="321"/>
      <c r="M62" s="321"/>
      <c r="N62" s="321"/>
      <c r="O62" s="321"/>
      <c r="P62" s="321"/>
      <c r="Q62" s="321"/>
      <c r="R62" s="321"/>
      <c r="S62" s="321"/>
      <c r="T62" s="325"/>
      <c r="U62" s="321"/>
      <c r="V62" s="321"/>
      <c r="W62" s="321"/>
      <c r="X62" s="321"/>
      <c r="Y62" s="321"/>
      <c r="Z62" s="321"/>
      <c r="AA62" s="321"/>
      <c r="AB62" s="321"/>
      <c r="AC62" s="321"/>
    </row>
    <row r="63" ht="16.5" spans="1:30">
      <c r="D63" s="319"/>
      <c r="E63" s="320"/>
      <c r="F63" s="321"/>
      <c r="G63" s="321"/>
      <c r="H63" s="321"/>
      <c r="I63" s="321"/>
      <c r="J63" s="321"/>
      <c r="K63" s="321"/>
      <c r="L63" s="321"/>
      <c r="M63" s="321"/>
      <c r="N63" s="326"/>
      <c r="O63" s="321"/>
      <c r="P63" s="321"/>
      <c r="Q63" s="321"/>
      <c r="R63" s="321"/>
      <c r="S63" s="321"/>
      <c r="T63" s="325"/>
      <c r="U63" s="321"/>
      <c r="V63" s="321"/>
      <c r="W63" s="321"/>
      <c r="X63" s="321"/>
      <c r="Y63" s="321"/>
      <c r="Z63" s="321"/>
      <c r="AA63" s="321"/>
      <c r="AB63" s="321"/>
      <c r="AC63" s="321"/>
    </row>
    <row r="64" ht="16.5" spans="1:30">
      <c r="D64" s="319" t="s">
        <v>203</v>
      </c>
      <c r="E64" s="320"/>
      <c r="F64" s="321"/>
      <c r="G64" s="326">
        <f>G61/G61*$E$56</f>
        <v>0.07</v>
      </c>
      <c r="H64" s="326">
        <f>G61/H61*$E$56</f>
        <v>0.0595229186155277</v>
      </c>
      <c r="I64" s="326">
        <f>G61/I61*$E$56</f>
        <v>0.0683629560336767</v>
      </c>
      <c r="J64" s="326">
        <f>G61/J61*$E$56</f>
        <v>0.0595229186155277</v>
      </c>
      <c r="K64" s="326">
        <f>G61/K61*$E$56</f>
        <v>0.0595229186155277</v>
      </c>
      <c r="L64" s="326">
        <f>G61/L61*$E$56</f>
        <v>0.0595229186155277</v>
      </c>
      <c r="M64" s="326">
        <f>G61/M61*$E$56</f>
        <v>0.0713096351730594</v>
      </c>
      <c r="N64" s="326">
        <f>G61/N61*$E$56</f>
        <v>0.391024321796167</v>
      </c>
      <c r="O64" s="326">
        <f>G61/O61*$E$56</f>
        <v>0.0689522918615523</v>
      </c>
      <c r="P64" s="326">
        <f>G61/P61*$E$56</f>
        <v>0.065416276894292</v>
      </c>
      <c r="Q64" s="326">
        <f>G61/Q61*$E$56</f>
        <v>0.0595229186155277</v>
      </c>
      <c r="R64" s="326">
        <f>G61/R61*$E$56</f>
        <v>0.0595229186155277</v>
      </c>
      <c r="S64" s="326">
        <f>G61/S61*$E$56</f>
        <v>0.0612909260991583</v>
      </c>
      <c r="T64" s="327"/>
      <c r="U64" s="326">
        <f>G61/U61*$E$56</f>
        <v>0.0595229186155277</v>
      </c>
      <c r="V64" s="326"/>
      <c r="W64" s="326"/>
      <c r="X64" s="326"/>
      <c r="Y64" s="326"/>
      <c r="Z64" s="326"/>
      <c r="AA64" s="326"/>
      <c r="AB64" s="326"/>
      <c r="AC64" s="326"/>
    </row>
    <row r="65" spans="3:29">
      <c r="N65" s="42">
        <v>3</v>
      </c>
      <c r="O65" s="42">
        <v>6</v>
      </c>
      <c r="P65" s="42">
        <v>7</v>
      </c>
      <c r="Q65" s="42">
        <v>4</v>
      </c>
    </row>
    <row r="66" spans="3:29">
      <c r="N66" s="328">
        <f>N67/G67/N65</f>
        <v>0.04</v>
      </c>
      <c r="O66" s="328">
        <f>(O67/O$58-1)/O65</f>
        <v>0.0201149425287357</v>
      </c>
      <c r="P66" s="328">
        <f t="shared" ref="P66:Q66" si="5">(P67/P$58-1)/P65</f>
        <v>0.0389610389610389</v>
      </c>
      <c r="Q66" s="329">
        <f t="shared" si="5"/>
        <v>0.045</v>
      </c>
    </row>
    <row r="67" ht="16.5" spans="3:29">
      <c r="C67">
        <f>(G67-G58)/(E71-E62)</f>
        <v>16.7005672786264</v>
      </c>
      <c r="D67" s="319" t="s">
        <v>504</v>
      </c>
      <c r="E67" s="320"/>
      <c r="F67" s="321">
        <f>(G67+N67)*(H67)*(S67)*I67*J67*K67*L67*M67*O67*P67*Q67*R67*U67</f>
        <v>5359.261235328</v>
      </c>
      <c r="G67" s="330">
        <v>1000</v>
      </c>
      <c r="H67" s="331">
        <v>1.1</v>
      </c>
      <c r="I67" s="331">
        <f>135%</f>
        <v>1.35</v>
      </c>
      <c r="J67" s="331">
        <v>1</v>
      </c>
      <c r="K67" s="331">
        <v>1</v>
      </c>
      <c r="L67" s="331">
        <v>1.1</v>
      </c>
      <c r="M67" s="331">
        <f>100%+6%*4</f>
        <v>1.24</v>
      </c>
      <c r="N67" s="330">
        <v>120</v>
      </c>
      <c r="O67" s="331">
        <v>1.3</v>
      </c>
      <c r="P67" s="331">
        <v>1.4</v>
      </c>
      <c r="Q67" s="331">
        <v>1.18</v>
      </c>
      <c r="R67" s="331">
        <v>1</v>
      </c>
      <c r="S67" s="331">
        <f>5%*T67+0.95</f>
        <v>1.1</v>
      </c>
      <c r="T67" s="331">
        <v>3</v>
      </c>
      <c r="U67" s="331">
        <v>1</v>
      </c>
      <c r="V67" s="331"/>
      <c r="W67" s="331"/>
      <c r="X67" s="331"/>
      <c r="Y67" s="331"/>
      <c r="Z67" s="331"/>
      <c r="AA67" s="331"/>
      <c r="AB67" s="331"/>
      <c r="AC67" s="331"/>
    </row>
    <row r="68" ht="16.5" spans="3:29">
      <c r="D68" s="319" t="s">
        <v>505</v>
      </c>
      <c r="E68" s="321"/>
      <c r="F68" s="321">
        <f>F67*1.01</f>
        <v>5412.85384768128</v>
      </c>
      <c r="G68" s="321">
        <f>G67*1.01</f>
        <v>1010</v>
      </c>
      <c r="H68" s="320">
        <f t="shared" ref="H68:M68" si="6">H67+1%</f>
        <v>1.11</v>
      </c>
      <c r="I68" s="326">
        <f t="shared" si="6"/>
        <v>1.36</v>
      </c>
      <c r="J68" s="326">
        <f t="shared" si="6"/>
        <v>1.01</v>
      </c>
      <c r="K68" s="326">
        <f t="shared" si="6"/>
        <v>1.01</v>
      </c>
      <c r="L68" s="326">
        <f t="shared" si="6"/>
        <v>1.11</v>
      </c>
      <c r="M68" s="326">
        <f t="shared" si="6"/>
        <v>1.25</v>
      </c>
      <c r="N68" s="332">
        <f>N67+1%*N67</f>
        <v>121.2</v>
      </c>
      <c r="O68" s="320">
        <f t="shared" ref="O68:S68" si="7">O67+1%</f>
        <v>1.31</v>
      </c>
      <c r="P68" s="320">
        <f>P67+0.01</f>
        <v>1.41</v>
      </c>
      <c r="Q68" s="320">
        <f t="shared" si="7"/>
        <v>1.19</v>
      </c>
      <c r="R68" s="320">
        <f t="shared" si="7"/>
        <v>1.01</v>
      </c>
      <c r="S68" s="320">
        <f t="shared" si="7"/>
        <v>1.11</v>
      </c>
      <c r="T68" s="324"/>
      <c r="U68" s="320">
        <f>U67+1%</f>
        <v>1.01</v>
      </c>
      <c r="V68" s="320"/>
      <c r="W68" s="320"/>
      <c r="X68" s="320"/>
      <c r="Y68" s="320"/>
      <c r="Z68" s="320"/>
      <c r="AA68" s="320"/>
      <c r="AB68" s="320"/>
      <c r="AC68" s="320"/>
    </row>
    <row r="69" ht="16.5" spans="3:29">
      <c r="D69" s="319" t="s">
        <v>201</v>
      </c>
      <c r="E69" s="321">
        <f>F67/((G67+N67)*(H67)*(S67*100%)*I67*J67*K67*L67*M67*O67*P67*Q67*R67*U67)</f>
        <v>1</v>
      </c>
      <c r="F69" s="321">
        <f>F68/((G67+N67)*(H67)*(S67*100%)*I67*M67*P67*O67*Q67*R67*U67*K67*J67*L67)</f>
        <v>1.01</v>
      </c>
      <c r="G69" s="321">
        <f>F67/((G68+N67)*(H67)*(S67*100%)*I67*M67*P67*O67*Q67*R67*U67*K67*J67*L67)</f>
        <v>0.991150442477876</v>
      </c>
      <c r="H69" s="321">
        <f>F67/((G67+N67)*(H68)*(S67*100%)*I67*M67*P67*O67*Q67*R67*U67*K67*J67*L67)</f>
        <v>0.990990990990991</v>
      </c>
      <c r="I69" s="321">
        <f>F67/((G67+N67)*(H67)*(S67*100%)*I68*M67*P67*O67*Q67*R67*U67*K67*J67*L67)</f>
        <v>0.992647058823529</v>
      </c>
      <c r="J69" s="321">
        <f>F67/((G67+N67)*(H67)*(S67*100%)*I67*M67*P67*O67*Q67*R67*U67*K67*J68*L67)</f>
        <v>0.99009900990099</v>
      </c>
      <c r="K69" s="321">
        <f>F67/((G67+N67)*(H67)*(S67*100%)*I67*M67*P67*O67*Q67*R67*U67*K68*J67*L67)</f>
        <v>0.99009900990099</v>
      </c>
      <c r="L69" s="321">
        <f>F67/((G67+N67)*(H67)*(S67*100%)*I67*M67*P67*O67*Q67*R67*U67*K67*J67*L68)</f>
        <v>0.990990990990991</v>
      </c>
      <c r="M69" s="321">
        <f>F67/((G67+N67)*(H67)*(S67*100%)*I67*M68*P67*O67*Q67*R67*U67*K67*J67*L67)</f>
        <v>0.992</v>
      </c>
      <c r="N69" s="321">
        <f>F67/((G67+N68)*(H67)*(S67*100%)*I67*M67*P67*O67*Q67*R67*U67*K67*J67*L67)</f>
        <v>0.998929718159115</v>
      </c>
      <c r="O69" s="321">
        <f>F67/((G67+N67)*(H67)*(S67*100%)*I67*M67*P67*O68*Q67*R67*U67*K67*J67*L67)</f>
        <v>0.99236641221374</v>
      </c>
      <c r="P69" s="321">
        <f>F67/((G67+N67)*(H67)*(S67*100%)*I67*M67*P68*O67*Q67*R67*U67*K67*J67*L67)</f>
        <v>0.99290780141844</v>
      </c>
      <c r="Q69" s="321">
        <f>F67/((G67+N67)*(H67)*(S67*100%)*I67*M67*P67*O67*Q68*R67*U67*K67*J67*L67)</f>
        <v>0.991596638655462</v>
      </c>
      <c r="R69" s="321">
        <f>F67/((G67+N67)*(H67)*(S67*100%)*I67*M67*P67*O67*Q67*R68*U67*K67*J67*L67)</f>
        <v>0.99009900990099</v>
      </c>
      <c r="S69" s="321">
        <f>F67/((G67+N67)*(H67)*(S68)*I67*M67*P67*O67*Q67*R67*U67*K67*J67*L67)</f>
        <v>0.990990990990991</v>
      </c>
      <c r="T69" s="325"/>
      <c r="U69" s="321">
        <f>F67/((G67+N67)*(H67)*(S67)*I67*M67*P67*O67*Q67*R67*U68*K67*J67*L67)</f>
        <v>0.99009900990099</v>
      </c>
      <c r="V69" s="321"/>
      <c r="W69" s="321"/>
      <c r="X69" s="321"/>
      <c r="Y69" s="321"/>
      <c r="Z69" s="321"/>
      <c r="AA69" s="321"/>
      <c r="AB69" s="321"/>
      <c r="AC69" s="321"/>
    </row>
    <row r="70" ht="16.5" spans="3:29">
      <c r="D70" s="319" t="s">
        <v>506</v>
      </c>
      <c r="E70" s="321"/>
      <c r="F70" s="321">
        <f>ABS(F69-E69)/ABS(F69-E69)</f>
        <v>1</v>
      </c>
      <c r="G70" s="321">
        <f>ABS(G69-E69)/ABS(F69-E69)</f>
        <v>0.884955752212401</v>
      </c>
      <c r="H70" s="321">
        <f>ABS(H69-E69)/ABS(F69-E69)</f>
        <v>0.900900900900924</v>
      </c>
      <c r="I70" s="321">
        <f>ABS(I69-E69)/ABS(F69-E69)</f>
        <v>0.735294117647067</v>
      </c>
      <c r="J70" s="321">
        <f>ABS(J69-E69)/ABS(F69-E69)</f>
        <v>0.990099009900968</v>
      </c>
      <c r="K70" s="321">
        <f>ABS(K69-E69)/ABS(F69-E69)</f>
        <v>0.990099009900968</v>
      </c>
      <c r="L70" s="321">
        <f>ABS(L69-E69)/ABS(F69-E69)</f>
        <v>0.900900900900891</v>
      </c>
      <c r="M70" s="321">
        <f>ABS(M69-E69)/ABS(F69-E69)</f>
        <v>0.800000000000011</v>
      </c>
      <c r="N70" s="321">
        <f>ABS(N69-E69)/ABS(F69-E69)</f>
        <v>0.107028184088509</v>
      </c>
      <c r="O70" s="321">
        <f>ABS(O69-E69)/ABS(F69-E69)</f>
        <v>0.763358778625977</v>
      </c>
      <c r="P70" s="321">
        <f>ABS(P69-E69)/ABS(F69-E69)</f>
        <v>0.709219858156018</v>
      </c>
      <c r="Q70" s="321">
        <f>ABS(Q69-E69)/ABS(F69-E69)</f>
        <v>0.840336134453778</v>
      </c>
      <c r="R70" s="321">
        <f>ABS(R69-E69)/ABS(F69-E69)</f>
        <v>0.990099009900968</v>
      </c>
      <c r="S70" s="321">
        <f>ABS(S69-E69)/ABS(F69-E69)</f>
        <v>0.900900900900924</v>
      </c>
      <c r="T70" s="325"/>
      <c r="U70" s="321">
        <f>ABS(U69-E69)/ABS(F69-E69)</f>
        <v>0.990099009900968</v>
      </c>
      <c r="V70" s="321"/>
      <c r="W70" s="321"/>
      <c r="X70" s="321"/>
      <c r="Y70" s="321"/>
      <c r="Z70" s="321"/>
      <c r="AA70" s="321"/>
      <c r="AB70" s="321"/>
      <c r="AC70" s="321"/>
    </row>
    <row r="71" ht="16.5" spans="3:29">
      <c r="D71" s="319" t="s">
        <v>507</v>
      </c>
      <c r="E71" s="333">
        <f>SUM(G71:U71)+10-$P71</f>
        <v>32.9330130422514</v>
      </c>
      <c r="F71" s="321"/>
      <c r="G71" s="334">
        <f>LOG(G67/(G$58+N$58),G$64+1)</f>
        <v>9.38354943169873</v>
      </c>
      <c r="H71" s="334">
        <f t="shared" ref="H71:M71" si="8">LOG(H67/H$58,H$64+1)</f>
        <v>1.64843087616875</v>
      </c>
      <c r="I71" s="334">
        <f t="shared" si="8"/>
        <v>2.42474884256039</v>
      </c>
      <c r="J71" s="334">
        <f t="shared" si="8"/>
        <v>0</v>
      </c>
      <c r="K71" s="334">
        <f t="shared" si="8"/>
        <v>0</v>
      </c>
      <c r="L71" s="334">
        <f t="shared" si="8"/>
        <v>1.64843087616875</v>
      </c>
      <c r="M71" s="334">
        <f t="shared" si="8"/>
        <v>0.476029882207499</v>
      </c>
      <c r="N71" s="334">
        <f>LOG((N67+G67)/(G67),G$64+1)</f>
        <v>1.67500663792987</v>
      </c>
      <c r="O71" s="334">
        <f t="shared" ref="O71:S71" si="9">LOG(O67/O$58,O$64+1)</f>
        <v>1.70884769464865</v>
      </c>
      <c r="P71" s="334">
        <f t="shared" si="9"/>
        <v>3.80588336607401</v>
      </c>
      <c r="Q71" s="334">
        <f t="shared" si="9"/>
        <v>2.86264396309306</v>
      </c>
      <c r="R71" s="334">
        <f t="shared" si="9"/>
        <v>0</v>
      </c>
      <c r="S71" s="334">
        <f t="shared" si="9"/>
        <v>1.10532483777576</v>
      </c>
      <c r="T71" s="335"/>
      <c r="U71" s="334">
        <f>LOG(U67/U$58,U$64+1)</f>
        <v>0</v>
      </c>
      <c r="V71" s="334"/>
      <c r="W71" s="334"/>
      <c r="X71" s="334"/>
      <c r="Y71" s="334"/>
      <c r="Z71" s="334"/>
      <c r="AA71" s="334"/>
      <c r="AB71" s="334"/>
      <c r="AC71" s="334"/>
    </row>
    <row r="72" ht="16.5" spans="3:29">
      <c r="D72" s="319" t="s">
        <v>508</v>
      </c>
      <c r="E72" s="336"/>
      <c r="F72" s="321"/>
      <c r="G72" s="337">
        <f t="shared" ref="G72:S72" si="10">G71/($E71-10)</f>
        <v>0.409172114209791</v>
      </c>
      <c r="H72" s="337">
        <f t="shared" si="10"/>
        <v>0.0718802572139869</v>
      </c>
      <c r="I72" s="337">
        <f t="shared" si="10"/>
        <v>0.105731804106729</v>
      </c>
      <c r="J72" s="337">
        <f t="shared" si="10"/>
        <v>0</v>
      </c>
      <c r="K72" s="337">
        <f t="shared" si="10"/>
        <v>0</v>
      </c>
      <c r="L72" s="337">
        <f t="shared" si="10"/>
        <v>0.0718802572139869</v>
      </c>
      <c r="M72" s="337">
        <f t="shared" si="10"/>
        <v>0.0207574068584215</v>
      </c>
      <c r="N72" s="337">
        <f t="shared" si="10"/>
        <v>0.0730391002195768</v>
      </c>
      <c r="O72" s="337">
        <f t="shared" si="10"/>
        <v>0.0745147483019477</v>
      </c>
      <c r="P72" s="337">
        <f t="shared" si="10"/>
        <v>0.165956534322904</v>
      </c>
      <c r="Q72" s="337">
        <f t="shared" si="10"/>
        <v>0.124826334761113</v>
      </c>
      <c r="R72" s="337">
        <f t="shared" si="10"/>
        <v>0</v>
      </c>
      <c r="S72" s="337">
        <f t="shared" si="10"/>
        <v>0.0481979771144474</v>
      </c>
      <c r="T72" s="327"/>
      <c r="U72" s="337">
        <f>U71/($E71-10)</f>
        <v>0</v>
      </c>
      <c r="V72" s="337"/>
      <c r="W72" s="337"/>
      <c r="X72" s="337"/>
      <c r="Y72" s="337"/>
      <c r="Z72" s="337"/>
      <c r="AA72" s="337"/>
      <c r="AB72" s="337"/>
      <c r="AC72" s="337"/>
    </row>
    <row r="73" ht="16.5" spans="3:29">
      <c r="D73" s="319" t="s">
        <v>509</v>
      </c>
      <c r="E73" s="321"/>
      <c r="F73" s="321"/>
      <c r="G73" s="326">
        <f>G70/G70*$E$56</f>
        <v>0.07</v>
      </c>
      <c r="H73" s="326">
        <f>G70/H70*$E$56</f>
        <v>0.0687610619469018</v>
      </c>
      <c r="I73" s="326">
        <f>G70/I70*$E$56</f>
        <v>0.0842477876106197</v>
      </c>
      <c r="J73" s="326">
        <f>G70/J70*$E$56</f>
        <v>0.0625663716814182</v>
      </c>
      <c r="K73" s="326">
        <f>G70/K70*$E$56</f>
        <v>0.0625663716814182</v>
      </c>
      <c r="L73" s="326">
        <f>G70/L70*$E$56</f>
        <v>0.0687610619469043</v>
      </c>
      <c r="M73" s="326">
        <f>G70/M70*$E$56</f>
        <v>0.077433628318584</v>
      </c>
      <c r="N73" s="326">
        <f>G70/N70*$E$56</f>
        <v>0.57879056047181</v>
      </c>
      <c r="O73" s="326">
        <f>G70/O70*$E$56</f>
        <v>0.0811504424778748</v>
      </c>
      <c r="P73" s="326">
        <f>G70/P70*$E$56</f>
        <v>0.0873451327433653</v>
      </c>
      <c r="Q73" s="326">
        <f>G70/Q70*$E$56</f>
        <v>0.0737168141592933</v>
      </c>
      <c r="R73" s="326">
        <f>G70/R70*$E$56</f>
        <v>0.0625663716814182</v>
      </c>
      <c r="S73" s="326">
        <f>G70/S70*$E$56</f>
        <v>0.0687610619469018</v>
      </c>
      <c r="T73" s="327"/>
      <c r="U73" s="326">
        <f>G70/U70*$E$56</f>
        <v>0.0625663716814182</v>
      </c>
      <c r="V73" s="326"/>
      <c r="W73" s="326"/>
      <c r="X73" s="326"/>
      <c r="Y73" s="338"/>
      <c r="Z73" s="326"/>
      <c r="AA73" s="326"/>
      <c r="AB73" s="326"/>
      <c r="AC73" s="338"/>
    </row>
    <row r="74" spans="3:29">
      <c r="N74" s="42">
        <v>4</v>
      </c>
      <c r="O74" s="42">
        <v>7</v>
      </c>
      <c r="P74" s="42">
        <v>8</v>
      </c>
      <c r="Q74" s="42">
        <v>4</v>
      </c>
    </row>
    <row r="75" spans="3:29">
      <c r="N75" s="328">
        <f>N76/G76/N74</f>
        <v>0.03</v>
      </c>
      <c r="O75" s="328">
        <f>(O76/O$58-1)/O74</f>
        <v>0.041871921182266</v>
      </c>
      <c r="P75" s="328">
        <f>(P76/P$58-1)/P74</f>
        <v>0.0795454545454545</v>
      </c>
      <c r="Q75" s="329">
        <f>(Q76/Q$58-1)/Q74</f>
        <v>0.07</v>
      </c>
    </row>
    <row r="76" ht="16.5" spans="3:29">
      <c r="C76">
        <f>(G76-G67)/(E80-E71)</f>
        <v>40.0512931195109</v>
      </c>
      <c r="D76" s="319" t="s">
        <v>510</v>
      </c>
      <c r="E76" s="320"/>
      <c r="F76" s="321">
        <f>(G76+N76)*(H76)*(S76)*I76*J76*K76*L76*M76*O76*P76*Q76*R76*U76</f>
        <v>15467.9196672</v>
      </c>
      <c r="G76" s="330">
        <v>1500</v>
      </c>
      <c r="H76" s="331">
        <v>1.2</v>
      </c>
      <c r="I76" s="331">
        <f>135%</f>
        <v>1.35</v>
      </c>
      <c r="J76" s="331">
        <v>1</v>
      </c>
      <c r="K76" s="331">
        <v>1</v>
      </c>
      <c r="L76" s="331">
        <v>1.1</v>
      </c>
      <c r="M76" s="331">
        <f>100%+6%*5</f>
        <v>1.3</v>
      </c>
      <c r="N76" s="330">
        <v>180</v>
      </c>
      <c r="O76" s="331">
        <v>1.5</v>
      </c>
      <c r="P76" s="331">
        <v>1.8</v>
      </c>
      <c r="Q76" s="331">
        <v>1.28</v>
      </c>
      <c r="R76" s="331">
        <v>1</v>
      </c>
      <c r="S76" s="331">
        <f>5%*T76+0.95</f>
        <v>1.15</v>
      </c>
      <c r="T76" s="331">
        <v>4</v>
      </c>
      <c r="U76" s="331">
        <v>1</v>
      </c>
      <c r="V76" s="331"/>
      <c r="W76" s="331"/>
      <c r="X76" s="331"/>
      <c r="Y76" s="331"/>
      <c r="Z76" s="331"/>
      <c r="AA76" s="331"/>
      <c r="AB76" s="331"/>
      <c r="AC76" s="331"/>
    </row>
    <row r="77" ht="16.5" spans="3:29">
      <c r="D77" s="319" t="s">
        <v>505</v>
      </c>
      <c r="E77" s="321"/>
      <c r="F77" s="321">
        <f>F76*1.01</f>
        <v>15622.598863872</v>
      </c>
      <c r="G77" s="321">
        <f>G76*1.01</f>
        <v>1515</v>
      </c>
      <c r="H77" s="320">
        <f t="shared" ref="H77:M77" si="11">H76+1%</f>
        <v>1.21</v>
      </c>
      <c r="I77" s="326">
        <f t="shared" si="11"/>
        <v>1.36</v>
      </c>
      <c r="J77" s="326">
        <f t="shared" si="11"/>
        <v>1.01</v>
      </c>
      <c r="K77" s="326">
        <f t="shared" si="11"/>
        <v>1.01</v>
      </c>
      <c r="L77" s="326">
        <f t="shared" si="11"/>
        <v>1.11</v>
      </c>
      <c r="M77" s="326">
        <f t="shared" si="11"/>
        <v>1.31</v>
      </c>
      <c r="N77" s="332">
        <f>N76+1%*N76</f>
        <v>181.8</v>
      </c>
      <c r="O77" s="320">
        <f>O76+1%</f>
        <v>1.51</v>
      </c>
      <c r="P77" s="320">
        <f>P76+0.01</f>
        <v>1.81</v>
      </c>
      <c r="Q77" s="320">
        <f>Q76+1%</f>
        <v>1.29</v>
      </c>
      <c r="R77" s="320">
        <f>R76+1%</f>
        <v>1.01</v>
      </c>
      <c r="S77" s="320">
        <f>S76+1%</f>
        <v>1.16</v>
      </c>
      <c r="T77" s="324"/>
      <c r="U77" s="320">
        <f>U76+1%</f>
        <v>1.01</v>
      </c>
      <c r="V77" s="320"/>
      <c r="W77" s="320"/>
      <c r="X77" s="320"/>
      <c r="Y77" s="320"/>
      <c r="Z77" s="320"/>
      <c r="AA77" s="320"/>
      <c r="AB77" s="320"/>
      <c r="AC77" s="320"/>
    </row>
    <row r="78" ht="16.5" spans="3:29">
      <c r="D78" s="319" t="s">
        <v>201</v>
      </c>
      <c r="E78" s="321">
        <f>F76/((G76+N76)*(H76)*(S76*100%)*I76*J76*K76*L76*M76*O76*P76*Q76*R76*U76)</f>
        <v>1</v>
      </c>
      <c r="F78" s="321">
        <f>F77/((G76+N76)*(H76)*(S76*100%)*I76*M76*P76*O76*Q76*R76*U76*K76*J76*L76)</f>
        <v>1.01</v>
      </c>
      <c r="G78" s="321">
        <f>F76/((G77+N76)*(H76)*(S76*100%)*I76*M76*P76*O76*Q76*R76*U76*K76*J76*L76)</f>
        <v>0.991150442477876</v>
      </c>
      <c r="H78" s="321">
        <f>F76/((G76+N76)*(H77)*(S76*100%)*I76*M76*P76*O76*Q76*R76*U76*K76*J76*L76)</f>
        <v>0.991735537190083</v>
      </c>
      <c r="I78" s="321">
        <f>F76/((G76+N76)*(H76)*(S76*100%)*I77*M76*P76*O76*Q76*R76*U76*K76*J76*L76)</f>
        <v>0.992647058823529</v>
      </c>
      <c r="J78" s="321">
        <f>F76/((G76+N76)*(H76)*(S76*100%)*I76*M76*P76*O76*Q76*R76*U76*K76*J77*L76)</f>
        <v>0.99009900990099</v>
      </c>
      <c r="K78" s="321">
        <f>F76/((G76+N76)*(H76)*(S76*100%)*I76*M76*P76*O76*Q76*R76*U76*K77*J76*L76)</f>
        <v>0.99009900990099</v>
      </c>
      <c r="L78" s="321">
        <f>F76/((G76+N76)*(H76)*(S76*100%)*I76*M76*P76*O76*Q76*R76*U76*K76*J76*L77)</f>
        <v>0.990990990990991</v>
      </c>
      <c r="M78" s="321">
        <f>F76/((G76+N76)*(H76)*(S76*100%)*I76*M77*P76*O76*Q76*R76*U76*K76*J76*L76)</f>
        <v>0.992366412213741</v>
      </c>
      <c r="N78" s="321">
        <f>F76/((G76+N77)*(H76)*(S76*100%)*I76*M76*P76*O76*Q76*R76*U76*K76*J76*L76)</f>
        <v>0.998929718159115</v>
      </c>
      <c r="O78" s="321">
        <f>F76/((G76+N76)*(H76)*(S76*100%)*I76*M76*P76*O77*Q76*R76*U76*K76*J76*L76)</f>
        <v>0.993377483443709</v>
      </c>
      <c r="P78" s="321">
        <f>F76/((G76+N76)*(H76)*(S76*100%)*I76*M76*P77*O76*Q76*R76*U76*K76*J76*L76)</f>
        <v>0.994475138121547</v>
      </c>
      <c r="Q78" s="321">
        <f>F76/((G76+N76)*(H76)*(S76*100%)*I76*M76*P76*O76*Q77*R76*U76*K76*J76*L76)</f>
        <v>0.992248062015504</v>
      </c>
      <c r="R78" s="321">
        <f>F76/((G76+N76)*(H76)*(S76*100%)*I76*M76*P76*O76*Q76*R77*U76*K76*J76*L76)</f>
        <v>0.99009900990099</v>
      </c>
      <c r="S78" s="321">
        <f>F76/((G76+N76)*(H76)*(S77)*I76*M76*P76*O76*Q76*R76*U76*K76*J76*L76)</f>
        <v>0.991379310344828</v>
      </c>
      <c r="T78" s="325"/>
      <c r="U78" s="321">
        <f>F76/((G76+N76)*(H76)*(S76)*I76*M76*P76*O76*Q76*R76*U77*K76*J76*L76)</f>
        <v>0.99009900990099</v>
      </c>
      <c r="V78" s="321"/>
      <c r="W78" s="321"/>
      <c r="X78" s="321"/>
      <c r="Y78" s="321"/>
      <c r="Z78" s="321"/>
      <c r="AA78" s="321"/>
      <c r="AB78" s="321"/>
      <c r="AC78" s="321"/>
    </row>
    <row r="79" ht="16.5" spans="3:29">
      <c r="D79" s="319" t="s">
        <v>506</v>
      </c>
      <c r="E79" s="321"/>
      <c r="F79" s="321">
        <f>ABS(F78-E78)/ABS(F78-E78)</f>
        <v>1</v>
      </c>
      <c r="G79" s="321">
        <f>ABS(G78-E78)/ABS(F78-E78)</f>
        <v>0.884955752212401</v>
      </c>
      <c r="H79" s="321">
        <f>ABS(H78-E78)/ABS(F78-E78)</f>
        <v>0.826446280991732</v>
      </c>
      <c r="I79" s="321">
        <f>ABS(I78-E78)/ABS(F78-E78)</f>
        <v>0.735294117647056</v>
      </c>
      <c r="J79" s="321">
        <f>ABS(J78-E78)/ABS(F78-E78)</f>
        <v>0.99009900990099</v>
      </c>
      <c r="K79" s="321">
        <f>ABS(K78-E78)/ABS(F78-E78)</f>
        <v>0.99009900990099</v>
      </c>
      <c r="L79" s="321">
        <f>ABS(L78-E78)/ABS(F78-E78)</f>
        <v>0.900900900900902</v>
      </c>
      <c r="M79" s="321">
        <f>ABS(M78-E78)/ABS(F78-E78)</f>
        <v>0.763358778625944</v>
      </c>
      <c r="N79" s="321">
        <f>ABS(N78-E78)/ABS(F78-E78)</f>
        <v>0.107028184088464</v>
      </c>
      <c r="O79" s="321">
        <f>ABS(O78-E78)/ABS(F78-E78)</f>
        <v>0.662251655629142</v>
      </c>
      <c r="P79" s="321">
        <f>ABS(P78-E78)/ABS(F78-E78)</f>
        <v>0.552486187845291</v>
      </c>
      <c r="Q79" s="321">
        <f>ABS(Q78-E78)/ABS(F78-E78)</f>
        <v>0.775193798449602</v>
      </c>
      <c r="R79" s="321">
        <f>ABS(R78-E78)/ABS(F78-E78)</f>
        <v>0.99009900990099</v>
      </c>
      <c r="S79" s="321">
        <f>ABS(S78-E78)/ABS(F78-E78)</f>
        <v>0.862068965517226</v>
      </c>
      <c r="T79" s="325"/>
      <c r="U79" s="321">
        <f>ABS(U78-E78)/ABS(F78-E78)</f>
        <v>0.99009900990099</v>
      </c>
      <c r="V79" s="321"/>
      <c r="W79" s="321"/>
      <c r="X79" s="321"/>
      <c r="Y79" s="321"/>
      <c r="Z79" s="321"/>
      <c r="AA79" s="321"/>
      <c r="AB79" s="321"/>
      <c r="AC79" s="321"/>
    </row>
    <row r="80" ht="16.5" spans="3:29">
      <c r="D80" s="319" t="s">
        <v>507</v>
      </c>
      <c r="E80" s="333">
        <f>SUM(G80:U80)+10-$P80</f>
        <v>45.4170044706437</v>
      </c>
      <c r="F80" s="321"/>
      <c r="G80" s="334">
        <f>LOG(G76/(G$58+N$58),G$64+1)</f>
        <v>15.376354745643</v>
      </c>
      <c r="H80" s="334">
        <f>LOG(H76/H$58,H$64+1)</f>
        <v>3.15333036017073</v>
      </c>
      <c r="I80" s="334">
        <f t="shared" ref="I80:M80" si="12">LOG(I76/I$58,I$64+1)</f>
        <v>2.42474884256039</v>
      </c>
      <c r="J80" s="334">
        <f t="shared" si="12"/>
        <v>0</v>
      </c>
      <c r="K80" s="334">
        <f t="shared" si="12"/>
        <v>0</v>
      </c>
      <c r="L80" s="334">
        <f t="shared" si="12"/>
        <v>1.64843087616875</v>
      </c>
      <c r="M80" s="334">
        <f t="shared" si="12"/>
        <v>1.16202886825868</v>
      </c>
      <c r="N80" s="334">
        <f>LOG((N76+G76)/(G76),G$64+1)</f>
        <v>1.67500663792987</v>
      </c>
      <c r="O80" s="334">
        <f>LOG(O76/O$58,O$64+1)</f>
        <v>3.85496324407865</v>
      </c>
      <c r="P80" s="334">
        <f>LOG(P76/P$58,P$64+1)</f>
        <v>7.77198572426936</v>
      </c>
      <c r="Q80" s="334">
        <f>LOG(Q76/Q$58,Q$64+1)</f>
        <v>4.26955206034859</v>
      </c>
      <c r="R80" s="334">
        <f>LOG(R76/R$58,R$64+1)</f>
        <v>0</v>
      </c>
      <c r="S80" s="334">
        <f>LOG(S76/S$58,S$64+1)</f>
        <v>1.85258883548501</v>
      </c>
      <c r="T80" s="335"/>
      <c r="U80" s="334">
        <f>LOG(U76/U$58,U$64+1)</f>
        <v>0</v>
      </c>
      <c r="V80" s="334"/>
      <c r="W80" s="334"/>
      <c r="X80" s="334"/>
      <c r="Y80" s="334"/>
      <c r="Z80" s="334"/>
      <c r="AA80" s="334"/>
      <c r="AB80" s="334"/>
      <c r="AC80" s="334"/>
    </row>
    <row r="81" ht="16.5" spans="3:29">
      <c r="D81" s="319" t="s">
        <v>508</v>
      </c>
      <c r="E81" s="336"/>
      <c r="F81" s="321"/>
      <c r="G81" s="337">
        <f>G80/($E80-10)</f>
        <v>0.434151757763367</v>
      </c>
      <c r="H81" s="337">
        <f t="shared" ref="G81:S81" si="13">H80/($E80-10)</f>
        <v>0.0890343609602685</v>
      </c>
      <c r="I81" s="337">
        <f t="shared" si="13"/>
        <v>0.06846284373288</v>
      </c>
      <c r="J81" s="337">
        <f t="shared" si="13"/>
        <v>0</v>
      </c>
      <c r="K81" s="337">
        <f t="shared" si="13"/>
        <v>0</v>
      </c>
      <c r="L81" s="337">
        <f t="shared" si="13"/>
        <v>0.0465434866897085</v>
      </c>
      <c r="M81" s="337">
        <f t="shared" si="13"/>
        <v>0.032809913927697</v>
      </c>
      <c r="N81" s="337">
        <f t="shared" si="13"/>
        <v>0.047293853982435</v>
      </c>
      <c r="O81" s="337">
        <f t="shared" si="13"/>
        <v>0.108844982846416</v>
      </c>
      <c r="P81" s="337">
        <f t="shared" si="13"/>
        <v>0.219442209764278</v>
      </c>
      <c r="Q81" s="337">
        <f t="shared" si="13"/>
        <v>0.12055090836063</v>
      </c>
      <c r="R81" s="337">
        <f t="shared" si="13"/>
        <v>0</v>
      </c>
      <c r="S81" s="337">
        <f t="shared" si="13"/>
        <v>0.0523078917365973</v>
      </c>
      <c r="T81" s="327"/>
      <c r="U81" s="337">
        <f>U80/($E80-10)</f>
        <v>0</v>
      </c>
      <c r="V81" s="337"/>
      <c r="W81" s="337"/>
      <c r="X81" s="337"/>
      <c r="Y81" s="337"/>
      <c r="Z81" s="337"/>
      <c r="AA81" s="337"/>
      <c r="AB81" s="337"/>
      <c r="AC81" s="337"/>
    </row>
    <row r="82" ht="16.5" spans="3:29">
      <c r="D82" s="319" t="s">
        <v>509</v>
      </c>
      <c r="E82" s="321"/>
      <c r="F82" s="321"/>
      <c r="G82" s="326">
        <f>G79/G79*$E$56</f>
        <v>0.07</v>
      </c>
      <c r="H82" s="326">
        <f>G79/H79*$E$56</f>
        <v>0.0749557522123907</v>
      </c>
      <c r="I82" s="326">
        <f>G79/I79*$E$56</f>
        <v>0.0842477876106209</v>
      </c>
      <c r="J82" s="326">
        <f>G79/J79*$E$56</f>
        <v>0.0625663716814168</v>
      </c>
      <c r="K82" s="326">
        <f>G79/K79*$E$56</f>
        <v>0.0625663716814168</v>
      </c>
      <c r="L82" s="326">
        <f>G79/L79*$E$56</f>
        <v>0.0687610619469035</v>
      </c>
      <c r="M82" s="326">
        <f>G79/M79*$E$56</f>
        <v>0.0811504424778783</v>
      </c>
      <c r="N82" s="326">
        <f>G79/N79*$E$56</f>
        <v>0.578790560472052</v>
      </c>
      <c r="O82" s="326">
        <f>G79/O79*$E$56</f>
        <v>0.0935398230088504</v>
      </c>
      <c r="P82" s="326">
        <f>G79/P79*$E$56</f>
        <v>0.112123893805314</v>
      </c>
      <c r="Q82" s="326">
        <f>G79/Q79*$E$56</f>
        <v>0.0799115044247809</v>
      </c>
      <c r="R82" s="326">
        <f>G79/R79*$E$56</f>
        <v>0.0625663716814168</v>
      </c>
      <c r="S82" s="326">
        <f>G79/S79*$E$56</f>
        <v>0.0718584070796482</v>
      </c>
      <c r="T82" s="327"/>
      <c r="U82" s="326">
        <f>G79/U79*$E$56</f>
        <v>0.0625663716814168</v>
      </c>
      <c r="V82" s="326"/>
      <c r="W82" s="326"/>
      <c r="X82" s="326"/>
      <c r="Y82" s="338"/>
      <c r="Z82" s="326"/>
      <c r="AA82" s="326"/>
      <c r="AB82" s="326"/>
      <c r="AC82" s="338"/>
    </row>
    <row r="83" s="296" customFormat="1" ht="16.5" spans="3:29">
      <c r="E83" s="296">
        <f>SUM(F83:S83)</f>
        <v>1</v>
      </c>
      <c r="G83" s="339">
        <f>SUM(G81:H81)</f>
        <v>0.523186118723636</v>
      </c>
      <c r="I83" s="339">
        <f>SUM(I81:M81)</f>
        <v>0.147816244350286</v>
      </c>
      <c r="N83" s="339">
        <f>SUM(N81:U81)-P81</f>
        <v>0.328997636926078</v>
      </c>
      <c r="T83" s="340"/>
      <c r="U83" s="341"/>
    </row>
    <row r="84" spans="3:29">
      <c r="N84" s="328"/>
      <c r="O84" s="328"/>
      <c r="P84" s="328"/>
      <c r="Q84" s="329"/>
    </row>
    <row r="85" ht="16.5" spans="3:29">
      <c r="C85">
        <f>(G85-G76)/(E89-E80)</f>
        <v>51.2307578015726</v>
      </c>
      <c r="D85" s="319" t="s">
        <v>511</v>
      </c>
      <c r="E85" s="320"/>
      <c r="F85" s="321">
        <f>(G85+N85)*(H85)*(S85)*I85*J85*K85*L85*M85*O85*P85*Q85*R85*U85</f>
        <v>25594.77989376</v>
      </c>
      <c r="G85" s="330">
        <v>1800</v>
      </c>
      <c r="H85" s="331">
        <v>1.2</v>
      </c>
      <c r="I85" s="331">
        <f>135%</f>
        <v>1.35</v>
      </c>
      <c r="J85" s="331">
        <v>1</v>
      </c>
      <c r="K85" s="331">
        <v>1</v>
      </c>
      <c r="L85" s="331">
        <v>1.1</v>
      </c>
      <c r="M85" s="331">
        <f>100%+6%*9</f>
        <v>1.54</v>
      </c>
      <c r="N85" s="330">
        <v>180</v>
      </c>
      <c r="O85" s="331">
        <v>1.6</v>
      </c>
      <c r="P85" s="331">
        <v>2</v>
      </c>
      <c r="Q85" s="331">
        <v>1.28</v>
      </c>
      <c r="R85" s="331">
        <v>1</v>
      </c>
      <c r="S85" s="331">
        <f>5%*T85+0.95</f>
        <v>1.15</v>
      </c>
      <c r="T85" s="331">
        <v>4</v>
      </c>
      <c r="U85" s="331">
        <v>1</v>
      </c>
      <c r="V85" s="331"/>
      <c r="W85" s="331"/>
      <c r="X85" s="331"/>
      <c r="Y85" s="331"/>
      <c r="Z85" s="331"/>
      <c r="AA85" s="331"/>
      <c r="AB85" s="331"/>
      <c r="AC85" s="331"/>
    </row>
    <row r="86" ht="16.5" spans="3:29">
      <c r="D86" s="319" t="s">
        <v>505</v>
      </c>
      <c r="E86" s="321"/>
      <c r="F86" s="321">
        <f>F85*1.01</f>
        <v>25850.7276926976</v>
      </c>
      <c r="G86" s="321">
        <f>G85*1.01</f>
        <v>1818</v>
      </c>
      <c r="H86" s="320">
        <f t="shared" ref="H86:M86" si="14">H85+1%</f>
        <v>1.21</v>
      </c>
      <c r="I86" s="326">
        <f t="shared" si="14"/>
        <v>1.36</v>
      </c>
      <c r="J86" s="326">
        <f t="shared" si="14"/>
        <v>1.01</v>
      </c>
      <c r="K86" s="326">
        <f t="shared" si="14"/>
        <v>1.01</v>
      </c>
      <c r="L86" s="326">
        <f t="shared" si="14"/>
        <v>1.11</v>
      </c>
      <c r="M86" s="326">
        <f t="shared" si="14"/>
        <v>1.55</v>
      </c>
      <c r="N86" s="332">
        <f>N85+1%*N85</f>
        <v>181.8</v>
      </c>
      <c r="O86" s="320">
        <f t="shared" ref="O86:S86" si="15">O85+1%</f>
        <v>1.61</v>
      </c>
      <c r="P86" s="320">
        <f>P85+0.01</f>
        <v>2.01</v>
      </c>
      <c r="Q86" s="320">
        <f t="shared" si="15"/>
        <v>1.29</v>
      </c>
      <c r="R86" s="320">
        <f t="shared" si="15"/>
        <v>1.01</v>
      </c>
      <c r="S86" s="320">
        <f t="shared" si="15"/>
        <v>1.16</v>
      </c>
      <c r="T86" s="324"/>
      <c r="U86" s="320">
        <f>U85+1%</f>
        <v>1.01</v>
      </c>
      <c r="V86" s="320"/>
      <c r="W86" s="320"/>
      <c r="X86" s="320"/>
      <c r="Y86" s="320"/>
      <c r="Z86" s="320"/>
      <c r="AA86" s="320"/>
      <c r="AB86" s="320"/>
      <c r="AC86" s="320"/>
    </row>
    <row r="87" ht="16.5" spans="3:29">
      <c r="D87" s="319" t="s">
        <v>201</v>
      </c>
      <c r="E87" s="321">
        <f>F85/((G85+N85)*(H85)*(S85*100%)*I85*J85*K85*L85*M85*O85*P85*Q85*R85*U85)</f>
        <v>1</v>
      </c>
      <c r="F87" s="321">
        <f>F86/((G85+N85)*(H85)*(S85*100%)*I85*M85*P85*O85*Q85*R85*U85*K85*J85*L85)</f>
        <v>1.01</v>
      </c>
      <c r="G87" s="321">
        <f>F85/((G86+N85)*(H85)*(S85*100%)*I85*M85*P85*O85*Q85*R85*U85*K85*J85*L85)</f>
        <v>0.990990990990991</v>
      </c>
      <c r="H87" s="321">
        <f>F85/((G85+N85)*(H86)*(S85*100%)*I85*M85*P85*O85*Q85*R85*U85*K85*J85*L85)</f>
        <v>0.991735537190083</v>
      </c>
      <c r="I87" s="321">
        <f>F85/((G85+N85)*(H85)*(S85*100%)*I86*M85*P85*O85*Q85*R85*U85*K85*J85*L85)</f>
        <v>0.992647058823529</v>
      </c>
      <c r="J87" s="321">
        <f>F85/((G85+N85)*(H85)*(S85*100%)*I85*M85*P85*O85*Q85*R85*U85*K85*J86*L85)</f>
        <v>0.99009900990099</v>
      </c>
      <c r="K87" s="321">
        <f>F85/((G85+N85)*(H85)*(S85*100%)*I85*M85*P85*O85*Q85*R85*U85*K86*J85*L85)</f>
        <v>0.99009900990099</v>
      </c>
      <c r="L87" s="321">
        <f>F85/((G85+N85)*(H85)*(S85*100%)*I85*M85*P85*O85*Q85*R85*U85*K85*J85*L86)</f>
        <v>0.990990990990991</v>
      </c>
      <c r="M87" s="321">
        <f>F85/((G85+N85)*(H85)*(S85*100%)*I85*M86*P85*O85*Q85*R85*U85*K85*J85*L85)</f>
        <v>0.993548387096774</v>
      </c>
      <c r="N87" s="321">
        <f>F85/((G85+N86)*(H85)*(S85*100%)*I85*M85*P85*O85*Q85*R85*U85*K85*J85*L85)</f>
        <v>0.999091734786558</v>
      </c>
      <c r="O87" s="321">
        <f>F85/((G85+N85)*(H85)*(S85*100%)*I85*M85*P85*O86*Q85*R85*U85*K85*J85*L85)</f>
        <v>0.993788819875776</v>
      </c>
      <c r="P87" s="321">
        <f>F85/((G85+N85)*(H85)*(S85*100%)*I85*M85*P86*O85*Q85*R85*U85*K85*J85*L85)</f>
        <v>0.99502487562189</v>
      </c>
      <c r="Q87" s="321">
        <f>F85/((G85+N85)*(H85)*(S85*100%)*I85*M85*P85*O85*Q86*R85*U85*K85*J85*L85)</f>
        <v>0.992248062015504</v>
      </c>
      <c r="R87" s="321">
        <f>F85/((G85+N85)*(H85)*(S85*100%)*I85*M85*P85*O85*Q85*R86*U85*K85*J85*L85)</f>
        <v>0.99009900990099</v>
      </c>
      <c r="S87" s="321">
        <f>F85/((G85+N85)*(H85)*(S86)*I85*M85*P85*O85*Q85*R85*U85*K85*J85*L85)</f>
        <v>0.991379310344827</v>
      </c>
      <c r="T87" s="325"/>
      <c r="U87" s="321">
        <f>F85/((G85+N85)*(H85)*(S85)*I85*M85*P85*O85*Q85*R85*U86*K85*J85*L85)</f>
        <v>0.99009900990099</v>
      </c>
      <c r="V87" s="321"/>
      <c r="W87" s="321"/>
      <c r="X87" s="321"/>
      <c r="Y87" s="321"/>
      <c r="Z87" s="321"/>
      <c r="AA87" s="321"/>
      <c r="AB87" s="321"/>
      <c r="AC87" s="321"/>
    </row>
    <row r="88" ht="16.5" spans="3:29">
      <c r="D88" s="319" t="s">
        <v>506</v>
      </c>
      <c r="E88" s="321"/>
      <c r="F88" s="321">
        <f>ABS(F87-E87)/ABS(F87-E87)</f>
        <v>1</v>
      </c>
      <c r="G88" s="321">
        <f>ABS(G87-E87)/ABS(F87-E87)</f>
        <v>0.900900900900902</v>
      </c>
      <c r="H88" s="321">
        <f>ABS(H87-E87)/ABS(F87-E87)</f>
        <v>0.826446280991743</v>
      </c>
      <c r="I88" s="321">
        <f>ABS(I87-E87)/ABS(F87-E87)</f>
        <v>0.735294117647078</v>
      </c>
      <c r="J88" s="321">
        <f>ABS(J87-E87)/ABS(F87-E87)</f>
        <v>0.990099009901001</v>
      </c>
      <c r="K88" s="321">
        <f>ABS(K87-E87)/ABS(F87-E87)</f>
        <v>0.990099009901001</v>
      </c>
      <c r="L88" s="321">
        <f>ABS(L87-E87)/ABS(F87-E87)</f>
        <v>0.900900900900902</v>
      </c>
      <c r="M88" s="321">
        <f>ABS(M87-E87)/ABS(F87-E87)</f>
        <v>0.645161290322582</v>
      </c>
      <c r="N88" s="321">
        <f>ABS(N87-E87)/ABS(F87-E87)</f>
        <v>0.0908265213442338</v>
      </c>
      <c r="O88" s="321">
        <f>ABS(O87-E87)/ABS(F87-E87)</f>
        <v>0.621118012422361</v>
      </c>
      <c r="P88" s="321">
        <f>ABS(P87-E87)/ABS(F87-E87)</f>
        <v>0.497512437810954</v>
      </c>
      <c r="Q88" s="321">
        <f>ABS(Q87-E87)/ABS(F87-E87)</f>
        <v>0.775193798449613</v>
      </c>
      <c r="R88" s="321">
        <f>ABS(R87-E87)/ABS(F87-E87)</f>
        <v>0.990099009901001</v>
      </c>
      <c r="S88" s="321">
        <f>ABS(S87-E87)/ABS(F87-E87)</f>
        <v>0.86206896551727</v>
      </c>
      <c r="T88" s="325"/>
      <c r="U88" s="321">
        <f>ABS(U87-E87)/ABS(F87-E87)</f>
        <v>0.990099009901001</v>
      </c>
      <c r="V88" s="321"/>
      <c r="W88" s="321"/>
      <c r="X88" s="321"/>
      <c r="Y88" s="321"/>
      <c r="Z88" s="321"/>
      <c r="AA88" s="321"/>
      <c r="AB88" s="321"/>
      <c r="AC88" s="321"/>
    </row>
    <row r="89" ht="16.5" spans="3:29">
      <c r="D89" s="319" t="s">
        <v>507</v>
      </c>
      <c r="E89" s="333">
        <f>SUM(G89:U89)+10-$P89</f>
        <v>51.2728616328969</v>
      </c>
      <c r="F89" s="321"/>
      <c r="G89" s="334">
        <f>LOG(G85/(G$58+N$58),G$64+1)</f>
        <v>18.0710813017686</v>
      </c>
      <c r="H89" s="334">
        <f t="shared" ref="H89:M89" si="16">LOG(H85/H$58,H$64+1)</f>
        <v>3.15333036017073</v>
      </c>
      <c r="I89" s="334">
        <f t="shared" si="16"/>
        <v>2.42474884256039</v>
      </c>
      <c r="J89" s="334">
        <f t="shared" si="16"/>
        <v>0</v>
      </c>
      <c r="K89" s="334">
        <f t="shared" si="16"/>
        <v>0</v>
      </c>
      <c r="L89" s="334">
        <f t="shared" si="16"/>
        <v>1.64843087616875</v>
      </c>
      <c r="M89" s="334">
        <f t="shared" si="16"/>
        <v>3.62157564152925</v>
      </c>
      <c r="N89" s="334">
        <f>LOG((N85+G85)/(G85),G$64+1)</f>
        <v>1.40869174827238</v>
      </c>
      <c r="O89" s="334">
        <f t="shared" ref="O89:S89" si="17">LOG(O85/O$58,O$64+1)</f>
        <v>4.82286196659318</v>
      </c>
      <c r="P89" s="334">
        <f t="shared" si="17"/>
        <v>9.43472587201809</v>
      </c>
      <c r="Q89" s="334">
        <f t="shared" si="17"/>
        <v>4.26955206034859</v>
      </c>
      <c r="R89" s="334">
        <f t="shared" si="17"/>
        <v>0</v>
      </c>
      <c r="S89" s="334">
        <f t="shared" si="17"/>
        <v>1.85258883548501</v>
      </c>
      <c r="T89" s="335"/>
      <c r="U89" s="334">
        <f>LOG(U85/U$58,U$64+1)</f>
        <v>0</v>
      </c>
      <c r="V89" s="334"/>
      <c r="W89" s="334"/>
      <c r="X89" s="334"/>
      <c r="Y89" s="334"/>
      <c r="Z89" s="334"/>
      <c r="AA89" s="334"/>
      <c r="AB89" s="334"/>
      <c r="AC89" s="334"/>
    </row>
    <row r="90" ht="16.5" spans="3:29">
      <c r="D90" s="319" t="s">
        <v>508</v>
      </c>
      <c r="E90" s="336"/>
      <c r="F90" s="321"/>
      <c r="G90" s="337">
        <f t="shared" ref="G90:S90" si="18">G89/($E89-10)</f>
        <v>0.437844156833673</v>
      </c>
      <c r="H90" s="337">
        <f t="shared" si="18"/>
        <v>0.0764020287281786</v>
      </c>
      <c r="I90" s="337">
        <f t="shared" si="18"/>
        <v>0.0587492300419442</v>
      </c>
      <c r="J90" s="337">
        <f t="shared" si="18"/>
        <v>0</v>
      </c>
      <c r="K90" s="337">
        <f t="shared" si="18"/>
        <v>0</v>
      </c>
      <c r="L90" s="337">
        <f t="shared" si="18"/>
        <v>0.0399398251284532</v>
      </c>
      <c r="M90" s="337">
        <f t="shared" si="18"/>
        <v>0.087747141783904</v>
      </c>
      <c r="N90" s="337">
        <f t="shared" si="18"/>
        <v>0.0341311867541933</v>
      </c>
      <c r="O90" s="337">
        <f t="shared" si="18"/>
        <v>0.116853103365846</v>
      </c>
      <c r="P90" s="337">
        <f t="shared" si="18"/>
        <v>0.228593935548633</v>
      </c>
      <c r="Q90" s="337">
        <f t="shared" si="18"/>
        <v>0.103446959852803</v>
      </c>
      <c r="R90" s="337">
        <f t="shared" si="18"/>
        <v>0</v>
      </c>
      <c r="S90" s="337">
        <f t="shared" si="18"/>
        <v>0.0448863675110037</v>
      </c>
      <c r="T90" s="327"/>
      <c r="U90" s="337">
        <f>U89/($E89-10)</f>
        <v>0</v>
      </c>
      <c r="V90" s="337"/>
      <c r="W90" s="337"/>
      <c r="X90" s="337"/>
      <c r="Y90" s="337"/>
      <c r="Z90" s="337"/>
      <c r="AA90" s="337"/>
      <c r="AB90" s="337"/>
      <c r="AC90" s="337"/>
    </row>
    <row r="91" ht="16.5" spans="3:29">
      <c r="D91" s="319" t="s">
        <v>509</v>
      </c>
      <c r="E91" s="321"/>
      <c r="F91" s="321"/>
      <c r="G91" s="326">
        <f>G88/G88*$E$56</f>
        <v>0.07</v>
      </c>
      <c r="H91" s="326">
        <f>G88/H88*$E$56</f>
        <v>0.0763063063063057</v>
      </c>
      <c r="I91" s="326">
        <f>G88/I88*$E$56</f>
        <v>0.0857657657657637</v>
      </c>
      <c r="J91" s="326">
        <f>G88/J88*$E$56</f>
        <v>0.0636936936936931</v>
      </c>
      <c r="K91" s="326">
        <f>G88/K88*$E$56</f>
        <v>0.0636936936936931</v>
      </c>
      <c r="L91" s="326">
        <f>G88/L88*$E$56</f>
        <v>0.07</v>
      </c>
      <c r="M91" s="326">
        <f>G88/M88*$E$56</f>
        <v>0.0977477477477477</v>
      </c>
      <c r="N91" s="326">
        <f>G88/N88*$E$56</f>
        <v>0.694324324324316</v>
      </c>
      <c r="O91" s="326">
        <f>G88/O88*$E$56</f>
        <v>0.101531531531532</v>
      </c>
      <c r="P91" s="326">
        <f>G88/P88*$E$56</f>
        <v>0.126756756756755</v>
      </c>
      <c r="Q91" s="326">
        <f>G88/Q88*$E$56</f>
        <v>0.0813513513513514</v>
      </c>
      <c r="R91" s="326">
        <f>G88/R88*$E$56</f>
        <v>0.0636936936936931</v>
      </c>
      <c r="S91" s="326">
        <f>G88/S88*$E$56</f>
        <v>0.0731531531531508</v>
      </c>
      <c r="T91" s="327"/>
      <c r="U91" s="326">
        <f>G88/U88*$E$56</f>
        <v>0.0636936936936931</v>
      </c>
      <c r="V91" s="326"/>
      <c r="W91" s="326"/>
      <c r="X91" s="326"/>
      <c r="Y91" s="338"/>
      <c r="Z91" s="326"/>
      <c r="AA91" s="326"/>
      <c r="AB91" s="326"/>
      <c r="AC91" s="338"/>
    </row>
    <row r="92" s="296" customFormat="1" ht="16.5" spans="3:29">
      <c r="E92" s="296">
        <f>SUM(F92:S92)</f>
        <v>1</v>
      </c>
      <c r="G92" s="339">
        <f>SUM(G90:H90)</f>
        <v>0.514246185561851</v>
      </c>
      <c r="I92" s="339">
        <f>SUM(I90:M90)</f>
        <v>0.186436196954301</v>
      </c>
      <c r="N92" s="339">
        <f>SUM(N90:U90)-P90</f>
        <v>0.299317617483847</v>
      </c>
      <c r="T92" s="340"/>
      <c r="U92" s="341"/>
    </row>
    <row r="93" s="296" customFormat="1" ht="16.5"/>
    <row r="94" ht="16.5" spans="3:29">
      <c r="C94">
        <f>(G94-G76)/(E98-E80)</f>
        <v>49.1300676436643</v>
      </c>
      <c r="D94" s="319" t="s">
        <v>512</v>
      </c>
      <c r="E94" s="320"/>
      <c r="F94" s="321">
        <f>(G94+N94)*(H94)*(S94)*I94*J94*K94*L94*M94*O94*P94*Q94*R94*U94</f>
        <v>43089.037992</v>
      </c>
      <c r="G94" s="330">
        <v>2200</v>
      </c>
      <c r="H94" s="331">
        <v>1.3</v>
      </c>
      <c r="I94" s="331">
        <f>135%</f>
        <v>1.35</v>
      </c>
      <c r="J94" s="331">
        <v>1</v>
      </c>
      <c r="K94" s="331">
        <v>1</v>
      </c>
      <c r="L94" s="331">
        <v>1.1</v>
      </c>
      <c r="M94" s="331">
        <f>100%+6%*9</f>
        <v>1.54</v>
      </c>
      <c r="N94" s="330">
        <v>240</v>
      </c>
      <c r="O94" s="331">
        <v>1.65</v>
      </c>
      <c r="P94" s="331">
        <v>2</v>
      </c>
      <c r="Q94" s="331">
        <v>1.5</v>
      </c>
      <c r="R94" s="331">
        <v>1</v>
      </c>
      <c r="S94" s="331">
        <f>5%*T94+0.95</f>
        <v>1.2</v>
      </c>
      <c r="T94" s="331">
        <v>5</v>
      </c>
      <c r="U94" s="331">
        <v>1</v>
      </c>
      <c r="V94" s="331"/>
      <c r="W94" s="331"/>
      <c r="X94" s="331"/>
      <c r="Y94" s="331"/>
      <c r="Z94" s="331"/>
      <c r="AA94" s="331"/>
      <c r="AB94" s="331"/>
      <c r="AC94" s="331"/>
    </row>
    <row r="95" ht="16.5" spans="3:29">
      <c r="D95" s="319" t="s">
        <v>505</v>
      </c>
      <c r="E95" s="321"/>
      <c r="F95" s="321">
        <f>F94*1.01</f>
        <v>43519.92837192</v>
      </c>
      <c r="G95" s="321">
        <f>G94*1.01</f>
        <v>2222</v>
      </c>
      <c r="H95" s="320">
        <f t="shared" ref="H95:M95" si="19">H94+1%</f>
        <v>1.31</v>
      </c>
      <c r="I95" s="326">
        <f t="shared" si="19"/>
        <v>1.36</v>
      </c>
      <c r="J95" s="326">
        <f t="shared" si="19"/>
        <v>1.01</v>
      </c>
      <c r="K95" s="326">
        <f t="shared" si="19"/>
        <v>1.01</v>
      </c>
      <c r="L95" s="326">
        <f t="shared" si="19"/>
        <v>1.11</v>
      </c>
      <c r="M95" s="326">
        <f t="shared" si="19"/>
        <v>1.55</v>
      </c>
      <c r="N95" s="332">
        <f>N94+1%*N94</f>
        <v>242.4</v>
      </c>
      <c r="O95" s="320">
        <f t="shared" ref="O95:S95" si="20">O94+1%</f>
        <v>1.66</v>
      </c>
      <c r="P95" s="320">
        <f>P94+0.01</f>
        <v>2.01</v>
      </c>
      <c r="Q95" s="320">
        <f t="shared" si="20"/>
        <v>1.51</v>
      </c>
      <c r="R95" s="320">
        <f t="shared" si="20"/>
        <v>1.01</v>
      </c>
      <c r="S95" s="320">
        <f t="shared" si="20"/>
        <v>1.21</v>
      </c>
      <c r="T95" s="324"/>
      <c r="U95" s="320">
        <f>U94+1%</f>
        <v>1.01</v>
      </c>
      <c r="V95" s="320"/>
      <c r="W95" s="320"/>
      <c r="X95" s="320"/>
      <c r="Y95" s="320"/>
      <c r="Z95" s="320"/>
      <c r="AA95" s="320"/>
      <c r="AB95" s="320"/>
      <c r="AC95" s="320"/>
    </row>
    <row r="96" ht="16.5" spans="3:29">
      <c r="D96" s="319" t="s">
        <v>201</v>
      </c>
      <c r="E96" s="321">
        <f>F94/((G94+N94)*(H94)*(S94*100%)*I94*J94*K94*L94*M94*O94*P94*Q94*R94*U94)</f>
        <v>1</v>
      </c>
      <c r="F96" s="321">
        <f>F95/((G94+N94)*(H94)*(S94*100%)*I94*M94*P94*O94*Q94*R94*U94*K94*J94*L94)</f>
        <v>1.01</v>
      </c>
      <c r="G96" s="321">
        <f>F94/((G95+N94)*(H94)*(S94*100%)*I94*M94*P94*O94*Q94*R94*U94*K94*J94*L94)</f>
        <v>0.9910641754671</v>
      </c>
      <c r="H96" s="321">
        <f>F94/((G94+N94)*(H95)*(S94*100%)*I94*M94*P94*O94*Q94*R94*U94*K94*J94*L94)</f>
        <v>0.99236641221374</v>
      </c>
      <c r="I96" s="321">
        <f>F94/((G94+N94)*(H94)*(S94*100%)*I95*M94*P94*O94*Q94*R94*U94*K94*J94*L94)</f>
        <v>0.992647058823529</v>
      </c>
      <c r="J96" s="321">
        <f>F94/((G94+N94)*(H94)*(S94*100%)*I94*M94*P94*O94*Q94*R94*U94*K94*J95*L94)</f>
        <v>0.99009900990099</v>
      </c>
      <c r="K96" s="321">
        <f>F94/((G94+N94)*(H94)*(S94*100%)*I94*M94*P94*O94*Q94*R94*U94*K95*J94*L94)</f>
        <v>0.99009900990099</v>
      </c>
      <c r="L96" s="321">
        <f>F94/((G94+N94)*(H94)*(S94*100%)*I94*M94*P94*O94*Q94*R94*U94*K94*J94*L95)</f>
        <v>0.990990990990991</v>
      </c>
      <c r="M96" s="321">
        <f>F94/((G94+N94)*(H94)*(S94*100%)*I94*M95*P94*O94*Q94*R94*U94*K94*J94*L94)</f>
        <v>0.993548387096774</v>
      </c>
      <c r="N96" s="321">
        <f>F94/((G94+N95)*(H94)*(S94*100%)*I94*M94*P94*O94*Q94*R94*U94*K94*J94*L94)</f>
        <v>0.999017359973796</v>
      </c>
      <c r="O96" s="321">
        <f>F94/((G94+N94)*(H94)*(S94*100%)*I94*M94*P94*O95*Q94*R94*U94*K94*J94*L94)</f>
        <v>0.993975903614458</v>
      </c>
      <c r="P96" s="321">
        <f>F94/((G94+N94)*(H94)*(S94*100%)*I94*M94*P95*O94*Q94*R94*U94*K94*J94*L94)</f>
        <v>0.995024875621891</v>
      </c>
      <c r="Q96" s="321">
        <f>F94/((G94+N94)*(H94)*(S94*100%)*I94*M94*P94*O94*Q95*R94*U94*K94*J94*L94)</f>
        <v>0.993377483443709</v>
      </c>
      <c r="R96" s="321">
        <f>F94/((G94+N94)*(H94)*(S94*100%)*I94*M94*P94*O94*Q94*R95*U94*K94*J94*L94)</f>
        <v>0.99009900990099</v>
      </c>
      <c r="S96" s="321">
        <f>F94/((G94+N94)*(H94)*(S95)*I94*M94*P94*O94*Q94*R94*U94*K94*J94*L94)</f>
        <v>0.991735537190082</v>
      </c>
      <c r="T96" s="325"/>
      <c r="U96" s="321">
        <f>F94/((G94+N94)*(H94)*(S94)*I94*M94*P94*O94*Q94*R94*U95*K94*J94*L94)</f>
        <v>0.99009900990099</v>
      </c>
      <c r="V96" s="321"/>
      <c r="W96" s="321"/>
      <c r="X96" s="321"/>
      <c r="Y96" s="321"/>
      <c r="Z96" s="321"/>
      <c r="AA96" s="321"/>
      <c r="AB96" s="321"/>
      <c r="AC96" s="321"/>
    </row>
    <row r="97" ht="16.5" spans="3:29">
      <c r="D97" s="319" t="s">
        <v>506</v>
      </c>
      <c r="E97" s="321"/>
      <c r="F97" s="321">
        <f>ABS(F96-E96)/ABS(F96-E96)</f>
        <v>1</v>
      </c>
      <c r="G97" s="321">
        <f>ABS(G96-E96)/ABS(F96-E96)</f>
        <v>0.893582453290009</v>
      </c>
      <c r="H97" s="321">
        <f>ABS(H96-E96)/ABS(F96-E96)</f>
        <v>0.763358778625966</v>
      </c>
      <c r="I97" s="321">
        <f>ABS(I96-E96)/ABS(F96-E96)</f>
        <v>0.735294117647056</v>
      </c>
      <c r="J97" s="321">
        <f>ABS(J96-E96)/ABS(F96-E96)</f>
        <v>0.99009900990099</v>
      </c>
      <c r="K97" s="321">
        <f>ABS(K96-E96)/ABS(F96-E96)</f>
        <v>0.99009900990099</v>
      </c>
      <c r="L97" s="321">
        <f>ABS(L96-E96)/ABS(F96-E96)</f>
        <v>0.900900900900902</v>
      </c>
      <c r="M97" s="321">
        <f>ABS(M96-E96)/ABS(F96-E96)</f>
        <v>0.645161290322571</v>
      </c>
      <c r="N97" s="321">
        <f>ABS(N96-E96)/ABS(F96-E96)</f>
        <v>0.0982640026203851</v>
      </c>
      <c r="O97" s="321">
        <f>ABS(O96-E96)/ABS(F96-E96)</f>
        <v>0.602409638554202</v>
      </c>
      <c r="P97" s="321">
        <f>ABS(P96-E96)/ABS(F96-E96)</f>
        <v>0.497512437810931</v>
      </c>
      <c r="Q97" s="321">
        <f>ABS(Q96-E96)/ABS(F96-E96)</f>
        <v>0.662251655629142</v>
      </c>
      <c r="R97" s="321">
        <f>ABS(R96-E96)/ABS(F96-E96)</f>
        <v>0.99009900990099</v>
      </c>
      <c r="S97" s="321">
        <f>ABS(S96-E96)/ABS(F96-E96)</f>
        <v>0.826446280991754</v>
      </c>
      <c r="T97" s="325"/>
      <c r="U97" s="321">
        <f>ABS(U96-E96)/ABS(F96-E96)</f>
        <v>0.99009900990099</v>
      </c>
      <c r="V97" s="321"/>
      <c r="W97" s="321"/>
      <c r="X97" s="321"/>
      <c r="Y97" s="321"/>
      <c r="Z97" s="321"/>
      <c r="AA97" s="321"/>
      <c r="AB97" s="321"/>
      <c r="AC97" s="321"/>
    </row>
    <row r="98" ht="16.5" spans="3:29">
      <c r="D98" s="319" t="s">
        <v>507</v>
      </c>
      <c r="E98" s="333">
        <f>SUM(G98:U98)+10-$P98</f>
        <v>59.6648985520651</v>
      </c>
      <c r="F98" s="321"/>
      <c r="G98" s="334">
        <f>LOG(G94/(G$58+N$58),G$64+1)</f>
        <v>21.0370095310298</v>
      </c>
      <c r="H98" s="334">
        <f t="shared" ref="H98:M98" si="21">LOG(H94/H$58,H$64+1)</f>
        <v>4.53770368747002</v>
      </c>
      <c r="I98" s="334">
        <f t="shared" si="21"/>
        <v>2.42474884256039</v>
      </c>
      <c r="J98" s="334">
        <f t="shared" si="21"/>
        <v>0</v>
      </c>
      <c r="K98" s="334">
        <f t="shared" si="21"/>
        <v>0</v>
      </c>
      <c r="L98" s="334">
        <f t="shared" si="21"/>
        <v>1.64843087616875</v>
      </c>
      <c r="M98" s="334">
        <f t="shared" si="21"/>
        <v>3.62157564152925</v>
      </c>
      <c r="N98" s="334">
        <f>LOG((N94+G94)/(G94),G$64+1)</f>
        <v>1.53033915510317</v>
      </c>
      <c r="O98" s="334">
        <f t="shared" ref="O98:S98" si="22">LOG(O94/O$58,O$64+1)</f>
        <v>5.28435145516879</v>
      </c>
      <c r="P98" s="334">
        <f t="shared" si="22"/>
        <v>9.43472587201809</v>
      </c>
      <c r="Q98" s="334">
        <f t="shared" si="22"/>
        <v>7.01269481168546</v>
      </c>
      <c r="R98" s="334">
        <f t="shared" si="22"/>
        <v>0</v>
      </c>
      <c r="S98" s="334">
        <f t="shared" si="22"/>
        <v>2.56804455134949</v>
      </c>
      <c r="T98" s="335"/>
      <c r="U98" s="334">
        <f>LOG(U94/U$58,U$64+1)</f>
        <v>0</v>
      </c>
      <c r="V98" s="334"/>
      <c r="W98" s="334"/>
      <c r="X98" s="334"/>
      <c r="Y98" s="334"/>
      <c r="Z98" s="334"/>
      <c r="AA98" s="334"/>
      <c r="AB98" s="334"/>
      <c r="AC98" s="334"/>
    </row>
    <row r="99" ht="16.5" spans="3:29">
      <c r="D99" s="319" t="s">
        <v>508</v>
      </c>
      <c r="E99" s="336"/>
      <c r="F99" s="321"/>
      <c r="G99" s="337">
        <f t="shared" ref="G99:S99" si="23">G98/($E98-10)</f>
        <v>0.42357902954289</v>
      </c>
      <c r="H99" s="337">
        <f t="shared" si="23"/>
        <v>0.0913664141025681</v>
      </c>
      <c r="I99" s="337">
        <f t="shared" si="23"/>
        <v>0.0488221845458611</v>
      </c>
      <c r="J99" s="337">
        <f t="shared" si="23"/>
        <v>0</v>
      </c>
      <c r="K99" s="337">
        <f t="shared" si="23"/>
        <v>0</v>
      </c>
      <c r="L99" s="337">
        <f t="shared" si="23"/>
        <v>0.0331910650021897</v>
      </c>
      <c r="M99" s="337">
        <f t="shared" si="23"/>
        <v>0.0729202262989152</v>
      </c>
      <c r="N99" s="337">
        <f t="shared" si="23"/>
        <v>0.030813294695425</v>
      </c>
      <c r="O99" s="337">
        <f t="shared" si="23"/>
        <v>0.106400125827883</v>
      </c>
      <c r="P99" s="337">
        <f t="shared" si="23"/>
        <v>0.189967686375668</v>
      </c>
      <c r="Q99" s="337">
        <f t="shared" si="23"/>
        <v>0.141200224225443</v>
      </c>
      <c r="R99" s="337">
        <f t="shared" si="23"/>
        <v>0</v>
      </c>
      <c r="S99" s="337">
        <f t="shared" si="23"/>
        <v>0.0517074357588254</v>
      </c>
      <c r="T99" s="327"/>
      <c r="U99" s="337">
        <f>U98/($E98-10)</f>
        <v>0</v>
      </c>
      <c r="V99" s="337"/>
      <c r="W99" s="337"/>
      <c r="X99" s="337"/>
      <c r="Y99" s="337"/>
      <c r="Z99" s="337"/>
      <c r="AA99" s="337"/>
      <c r="AB99" s="337"/>
      <c r="AC99" s="337"/>
    </row>
    <row r="100" ht="16.5" spans="3:29">
      <c r="D100" s="319" t="s">
        <v>509</v>
      </c>
      <c r="E100" s="321"/>
      <c r="F100" s="321"/>
      <c r="G100" s="326">
        <f>G97/G97*$E$56</f>
        <v>0.07</v>
      </c>
      <c r="H100" s="326">
        <f>G97/H97*$E$56</f>
        <v>0.0819415109666926</v>
      </c>
      <c r="I100" s="326">
        <f>G97/I97*$E$56</f>
        <v>0.0850690495532092</v>
      </c>
      <c r="J100" s="326">
        <f>G97/J97*$E$56</f>
        <v>0.0631762794476036</v>
      </c>
      <c r="K100" s="326">
        <f>G97/K97*$E$56</f>
        <v>0.0631762794476036</v>
      </c>
      <c r="L100" s="326">
        <f>G97/L97*$E$56</f>
        <v>0.0694313566206336</v>
      </c>
      <c r="M100" s="326">
        <f>G97/M97*$E$56</f>
        <v>0.0969536961819674</v>
      </c>
      <c r="N100" s="326">
        <f>G97/N97*$E$56</f>
        <v>0.63655835364195</v>
      </c>
      <c r="O100" s="326">
        <f>G97/O97*$E$56</f>
        <v>0.103834281072302</v>
      </c>
      <c r="P100" s="326">
        <f>G97/P97*$E$56</f>
        <v>0.125727051177908</v>
      </c>
      <c r="Q100" s="326">
        <f>G97/Q97*$E$56</f>
        <v>0.0944516653127535</v>
      </c>
      <c r="R100" s="326">
        <f>G97/R97*$E$56</f>
        <v>0.0631762794476036</v>
      </c>
      <c r="S100" s="326">
        <f>G97/S97*$E$56</f>
        <v>0.075686433793662</v>
      </c>
      <c r="T100" s="327"/>
      <c r="U100" s="326">
        <f>G97/U97*$E$56</f>
        <v>0.0631762794476036</v>
      </c>
      <c r="V100" s="326"/>
      <c r="W100" s="326"/>
      <c r="X100" s="326"/>
      <c r="Y100" s="338"/>
      <c r="Z100" s="326"/>
      <c r="AA100" s="326"/>
      <c r="AB100" s="326"/>
      <c r="AC100" s="338"/>
    </row>
    <row r="101" ht="16.5" spans="3:29">
      <c r="D101" s="296"/>
      <c r="E101" s="296">
        <f>SUM(F101:S101)</f>
        <v>1</v>
      </c>
      <c r="F101" s="296"/>
      <c r="G101" s="339">
        <f>SUM(G99:H99)</f>
        <v>0.514945443645458</v>
      </c>
      <c r="H101" s="296"/>
      <c r="I101" s="339">
        <f>SUM(I99:M99)</f>
        <v>0.154933475846966</v>
      </c>
      <c r="J101" s="296"/>
      <c r="K101" s="296"/>
      <c r="L101" s="296"/>
      <c r="M101" s="296"/>
      <c r="N101" s="339">
        <f>SUM(N99:U99)-P99</f>
        <v>0.330121080507576</v>
      </c>
      <c r="O101" s="296"/>
      <c r="P101" s="296"/>
      <c r="Q101" s="296"/>
      <c r="R101" s="296"/>
      <c r="S101" s="296"/>
      <c r="T101" s="340"/>
      <c r="U101" s="341"/>
      <c r="V101" s="269"/>
      <c r="W101" s="269"/>
      <c r="X101" s="269"/>
      <c r="Y101" s="342"/>
      <c r="Z101" s="269"/>
      <c r="AA101" s="269"/>
      <c r="AB101" s="269"/>
      <c r="AC101" s="342"/>
    </row>
    <row r="103" ht="16.5" spans="3:29">
      <c r="C103">
        <f>(G103-G94)/(E107-E98)</f>
        <v>55.0740236315914</v>
      </c>
      <c r="D103" s="319" t="s">
        <v>513</v>
      </c>
      <c r="E103" s="320"/>
      <c r="F103" s="321">
        <f>(G103+N103)*(H103)*(S103)*I103*J103*K103*L103*M103*O103*P103*Q103*R103*U103</f>
        <v>148942.313204849</v>
      </c>
      <c r="G103" s="330">
        <f>2840+360</f>
        <v>3200</v>
      </c>
      <c r="H103" s="331">
        <v>1.3</v>
      </c>
      <c r="I103" s="331">
        <f>I94</f>
        <v>1.35</v>
      </c>
      <c r="J103" s="331">
        <f>J94</f>
        <v>1</v>
      </c>
      <c r="K103" s="331">
        <v>1</v>
      </c>
      <c r="L103" s="331">
        <v>1.1</v>
      </c>
      <c r="M103" s="331">
        <f>100%+6%*14</f>
        <v>1.84</v>
      </c>
      <c r="N103" s="330">
        <f>64*5</f>
        <v>320</v>
      </c>
      <c r="O103" s="331">
        <v>1.8</v>
      </c>
      <c r="P103" s="331">
        <v>2.2</v>
      </c>
      <c r="Q103" s="331">
        <f>1.28*1.28</f>
        <v>1.6384</v>
      </c>
      <c r="R103" s="331">
        <v>1.2</v>
      </c>
      <c r="S103" s="331">
        <f>5%*T103+0.95</f>
        <v>1.275</v>
      </c>
      <c r="T103" s="331">
        <v>6.5</v>
      </c>
      <c r="U103" s="331">
        <v>1.2</v>
      </c>
      <c r="V103" s="331"/>
      <c r="W103" s="331"/>
      <c r="X103" s="331"/>
      <c r="Y103" s="331"/>
      <c r="Z103" s="331"/>
      <c r="AA103" s="331"/>
      <c r="AB103" s="331"/>
      <c r="AC103" s="331"/>
    </row>
    <row r="104" ht="16.5" spans="3:29">
      <c r="D104" s="319" t="s">
        <v>505</v>
      </c>
      <c r="E104" s="321"/>
      <c r="F104" s="321">
        <f>F103*1.01</f>
        <v>150431.736336898</v>
      </c>
      <c r="G104" s="321">
        <f>G103*1.01</f>
        <v>3232</v>
      </c>
      <c r="H104" s="320">
        <f t="shared" ref="H104:M104" si="24">H103+1%</f>
        <v>1.31</v>
      </c>
      <c r="I104" s="326">
        <f t="shared" si="24"/>
        <v>1.36</v>
      </c>
      <c r="J104" s="326">
        <f t="shared" si="24"/>
        <v>1.01</v>
      </c>
      <c r="K104" s="326">
        <f t="shared" si="24"/>
        <v>1.01</v>
      </c>
      <c r="L104" s="326">
        <f t="shared" si="24"/>
        <v>1.11</v>
      </c>
      <c r="M104" s="326">
        <f t="shared" si="24"/>
        <v>1.85</v>
      </c>
      <c r="N104" s="332">
        <f>N103+1%*N103</f>
        <v>323.2</v>
      </c>
      <c r="O104" s="320">
        <f t="shared" ref="O104:S104" si="25">O103+1%</f>
        <v>1.81</v>
      </c>
      <c r="P104" s="320">
        <f>P103+0.01</f>
        <v>2.21</v>
      </c>
      <c r="Q104" s="320">
        <f t="shared" si="25"/>
        <v>1.6484</v>
      </c>
      <c r="R104" s="320">
        <f t="shared" si="25"/>
        <v>1.21</v>
      </c>
      <c r="S104" s="320">
        <f t="shared" si="25"/>
        <v>1.285</v>
      </c>
      <c r="T104" s="324"/>
      <c r="U104" s="320">
        <f>U103+1%</f>
        <v>1.21</v>
      </c>
      <c r="V104" s="320"/>
      <c r="W104" s="320"/>
      <c r="X104" s="320"/>
      <c r="Y104" s="320"/>
      <c r="Z104" s="320"/>
      <c r="AA104" s="320"/>
      <c r="AB104" s="320"/>
      <c r="AC104" s="320"/>
    </row>
    <row r="105" ht="16.5" spans="3:29">
      <c r="D105" s="319" t="s">
        <v>201</v>
      </c>
      <c r="E105" s="321">
        <f>F103/((G103+N103)*(H103)*(S103*100%)*I103*J103*K103*L103*M103*O103*P103*Q103*R103*U103)</f>
        <v>1</v>
      </c>
      <c r="F105" s="321">
        <f>F104/((G103+N103)*(H103)*(S103*100%)*I103*M103*P103*O103*Q103*R103*U103*K103*J103*L103)</f>
        <v>1.01</v>
      </c>
      <c r="G105" s="321">
        <f>F103/((G104+N103)*(H103)*(S103*100%)*I103*M103*P103*O103*Q103*R103*U103*K103*J103*L103)</f>
        <v>0.990990990990991</v>
      </c>
      <c r="H105" s="321">
        <f>F103/((G103+N103)*(H104)*(S103*100%)*I103*M103*P103*O103*Q103*R103*U103*K103*J103*L103)</f>
        <v>0.99236641221374</v>
      </c>
      <c r="I105" s="321">
        <f>F103/((G103+N103)*(H103)*(S103*100%)*I104*M103*P103*O103*Q103*R103*U103*K103*J103*L103)</f>
        <v>0.992647058823529</v>
      </c>
      <c r="J105" s="321">
        <f>F103/((G103+N103)*(H103)*(S103*100%)*I103*M103*P103*O103*Q103*R103*U103*K103*J104*L103)</f>
        <v>0.99009900990099</v>
      </c>
      <c r="K105" s="321">
        <f>F103/((G103+N103)*(H103)*(S103*100%)*I103*M103*P103*O103*Q103*R103*U103*K104*J103*L103)</f>
        <v>0.99009900990099</v>
      </c>
      <c r="L105" s="321">
        <f>F103/((G103+N103)*(H103)*(S103*100%)*I103*M103*P103*O103*Q103*R103*U103*K103*J103*L104)</f>
        <v>0.990990990990991</v>
      </c>
      <c r="M105" s="321">
        <f>F103/((G103+N103)*(H103)*(S103*100%)*I103*M104*P103*O103*Q103*R103*U103*K103*J103*L103)</f>
        <v>0.994594594594595</v>
      </c>
      <c r="N105" s="321">
        <f>F103/((G103+N104)*(H103)*(S103*100%)*I103*M103*P103*O103*Q103*R103*U103*K103*J103*L103)</f>
        <v>0.999091734786558</v>
      </c>
      <c r="O105" s="321">
        <f>F103/((G103+N103)*(H103)*(S103*100%)*I103*M103*P103*O104*Q103*R103*U103*K103*J103*L103)</f>
        <v>0.994475138121547</v>
      </c>
      <c r="P105" s="321">
        <f>F103/((G103+N103)*(H103)*(S103*100%)*I103*M103*P104*O103*Q103*R103*U103*K103*J103*L103)</f>
        <v>0.995475113122172</v>
      </c>
      <c r="Q105" s="321">
        <f>F103/((G103+N103)*(H103)*(S103*100%)*I103*M103*P103*O103*Q104*R103*U103*K103*J103*L103)</f>
        <v>0.993933511283669</v>
      </c>
      <c r="R105" s="321">
        <f>F103/((G103+N103)*(H103)*(S103*100%)*I103*M103*P103*O103*Q103*R104*U103*K103*J103*L103)</f>
        <v>0.991735537190083</v>
      </c>
      <c r="S105" s="321">
        <f>F103/((G103+N103)*(H103)*(S104)*I103*M103*P103*O103*Q103*R103*U103*K103*J103*L103)</f>
        <v>0.992217898832685</v>
      </c>
      <c r="T105" s="325"/>
      <c r="U105" s="321">
        <f>F103/((G103+N103)*(H103)*(S103)*I103*M103*P103*O103*Q103*R103*U104*K103*J103*L103)</f>
        <v>0.991735537190083</v>
      </c>
      <c r="V105" s="321"/>
      <c r="W105" s="321"/>
      <c r="X105" s="321"/>
      <c r="Y105" s="321"/>
      <c r="Z105" s="321"/>
      <c r="AA105" s="321"/>
      <c r="AB105" s="321"/>
      <c r="AC105" s="321"/>
    </row>
    <row r="106" ht="16.5" spans="3:29">
      <c r="D106" s="319" t="s">
        <v>506</v>
      </c>
      <c r="E106" s="321"/>
      <c r="F106" s="321">
        <f>ABS(F105-E105)/ABS(F105-E105)</f>
        <v>1</v>
      </c>
      <c r="G106" s="321">
        <f>ABS(G105-E105)/ABS(F105-E105)</f>
        <v>0.900900900900913</v>
      </c>
      <c r="H106" s="321">
        <f>ABS(H105-E105)/ABS(F105-E105)</f>
        <v>0.763358778625955</v>
      </c>
      <c r="I106" s="321">
        <f>ABS(I105-E105)/ABS(F105-E105)</f>
        <v>0.735294117647067</v>
      </c>
      <c r="J106" s="321">
        <f>ABS(J105-E105)/ABS(F105-E105)</f>
        <v>0.990099009900968</v>
      </c>
      <c r="K106" s="321">
        <f>ABS(K105-E105)/ABS(F105-E105)</f>
        <v>0.990099009900968</v>
      </c>
      <c r="L106" s="321">
        <f>ABS(L105-E105)/ABS(F105-E105)</f>
        <v>0.900900900900891</v>
      </c>
      <c r="M106" s="321">
        <f>ABS(M105-E105)/ABS(F105-E105)</f>
        <v>0.540540540540546</v>
      </c>
      <c r="N106" s="321">
        <f>ABS(N105-E105)/ABS(F105-E105)</f>
        <v>0.0908265213442338</v>
      </c>
      <c r="O106" s="321">
        <f>ABS(O105-E105)/ABS(F105-E105)</f>
        <v>0.552486187845291</v>
      </c>
      <c r="P106" s="321">
        <f>ABS(P105-E105)/ABS(F105-E105)</f>
        <v>0.452488687782803</v>
      </c>
      <c r="Q106" s="321">
        <f>ABS(Q105-E105)/ABS(F105-E105)</f>
        <v>0.606648871633086</v>
      </c>
      <c r="R106" s="321">
        <f>ABS(R105-E105)/ABS(F105-E105)</f>
        <v>0.826446280991732</v>
      </c>
      <c r="S106" s="321">
        <f>ABS(S105-E105)/ABS(F105-E105)</f>
        <v>0.778210116731514</v>
      </c>
      <c r="T106" s="325"/>
      <c r="U106" s="321">
        <f>ABS(U105-E105)/ABS(F105-E105)</f>
        <v>0.826446280991732</v>
      </c>
      <c r="V106" s="321"/>
      <c r="W106" s="321"/>
      <c r="X106" s="321"/>
      <c r="Y106" s="321"/>
      <c r="Z106" s="321"/>
      <c r="AA106" s="321"/>
      <c r="AB106" s="321"/>
      <c r="AC106" s="321"/>
    </row>
    <row r="107" ht="16.5" spans="3:29">
      <c r="D107" s="319" t="s">
        <v>507</v>
      </c>
      <c r="E107" s="333">
        <f>SUM(G107:U107)+10-$P107</f>
        <v>77.8222790022268</v>
      </c>
      <c r="F107" s="321"/>
      <c r="G107" s="334">
        <f>LOG(G103/(G$58+N$58),G$64+1)</f>
        <v>26.5750073759975</v>
      </c>
      <c r="H107" s="334">
        <f t="shared" ref="H107:M107" si="26">LOG(H103/H$58,H$64+1)</f>
        <v>4.53770368747002</v>
      </c>
      <c r="I107" s="334">
        <f t="shared" si="26"/>
        <v>2.42474884256039</v>
      </c>
      <c r="J107" s="334">
        <f t="shared" si="26"/>
        <v>0</v>
      </c>
      <c r="K107" s="334">
        <f t="shared" si="26"/>
        <v>0</v>
      </c>
      <c r="L107" s="334">
        <f t="shared" si="26"/>
        <v>1.64843087616875</v>
      </c>
      <c r="M107" s="334">
        <f t="shared" si="26"/>
        <v>6.20546579732352</v>
      </c>
      <c r="N107" s="334">
        <f>LOG((N103+G103)/(G103),G$64+1)</f>
        <v>1.40869174827238</v>
      </c>
      <c r="O107" s="334">
        <f t="shared" ref="O107:S107" si="27">LOG(O103/O$58,O$64+1)</f>
        <v>6.58928065323596</v>
      </c>
      <c r="P107" s="334">
        <f t="shared" si="27"/>
        <v>10.9388572960183</v>
      </c>
      <c r="Q107" s="334">
        <f t="shared" si="27"/>
        <v>8.53910412069719</v>
      </c>
      <c r="R107" s="334">
        <f t="shared" si="27"/>
        <v>3.15333036017073</v>
      </c>
      <c r="S107" s="334">
        <f t="shared" si="27"/>
        <v>3.58718518015967</v>
      </c>
      <c r="T107" s="335"/>
      <c r="U107" s="334">
        <f>LOG(U103/U$58,U$64+1)</f>
        <v>3.15333036017073</v>
      </c>
      <c r="V107" s="334"/>
      <c r="W107" s="334"/>
      <c r="X107" s="334"/>
      <c r="Y107" s="334"/>
      <c r="Z107" s="334"/>
      <c r="AA107" s="334"/>
      <c r="AB107" s="334"/>
      <c r="AC107" s="334"/>
    </row>
    <row r="108" ht="16.5" spans="3:29">
      <c r="D108" s="319" t="s">
        <v>508</v>
      </c>
      <c r="E108" s="336"/>
      <c r="F108" s="321"/>
      <c r="G108" s="337">
        <f t="shared" ref="G108:S108" si="28">G107/($E107-10)</f>
        <v>0.39183300483201</v>
      </c>
      <c r="H108" s="337">
        <f t="shared" si="28"/>
        <v>0.0669057978326123</v>
      </c>
      <c r="I108" s="337">
        <f t="shared" si="28"/>
        <v>0.0357515093599373</v>
      </c>
      <c r="J108" s="337">
        <f t="shared" si="28"/>
        <v>0</v>
      </c>
      <c r="K108" s="337">
        <f t="shared" si="28"/>
        <v>0</v>
      </c>
      <c r="L108" s="337">
        <f t="shared" si="28"/>
        <v>0.0243051531210655</v>
      </c>
      <c r="M108" s="337">
        <f t="shared" si="28"/>
        <v>0.091495978734654</v>
      </c>
      <c r="N108" s="337">
        <f t="shared" si="28"/>
        <v>0.0207703393191215</v>
      </c>
      <c r="O108" s="337">
        <f t="shared" si="28"/>
        <v>0.0971551052275848</v>
      </c>
      <c r="P108" s="337">
        <f t="shared" si="28"/>
        <v>0.161287079363097</v>
      </c>
      <c r="Q108" s="337">
        <f t="shared" si="28"/>
        <v>0.125904116557582</v>
      </c>
      <c r="R108" s="337">
        <f t="shared" si="28"/>
        <v>0.0464940194661874</v>
      </c>
      <c r="S108" s="337">
        <f t="shared" si="28"/>
        <v>0.0528909560830578</v>
      </c>
      <c r="T108" s="327"/>
      <c r="U108" s="337">
        <f>U107/($E107-10)</f>
        <v>0.0464940194661874</v>
      </c>
      <c r="V108" s="337"/>
      <c r="W108" s="337"/>
      <c r="X108" s="337"/>
      <c r="Y108" s="337"/>
      <c r="Z108" s="337"/>
      <c r="AA108" s="337"/>
      <c r="AB108" s="337"/>
      <c r="AC108" s="337"/>
    </row>
    <row r="109" ht="16.5" spans="3:29">
      <c r="D109" s="319" t="s">
        <v>509</v>
      </c>
      <c r="E109" s="321"/>
      <c r="F109" s="321"/>
      <c r="G109" s="326">
        <f>G106/G106*$E$56</f>
        <v>0.07</v>
      </c>
      <c r="H109" s="326">
        <f>G106/H106*$E$56</f>
        <v>0.0826126126126137</v>
      </c>
      <c r="I109" s="326">
        <f>G106/I106*$E$56</f>
        <v>0.085765765765766</v>
      </c>
      <c r="J109" s="326">
        <f>G106/J106*$E$56</f>
        <v>0.063693693693696</v>
      </c>
      <c r="K109" s="326">
        <f>G106/K106*$E$56</f>
        <v>0.063693693693696</v>
      </c>
      <c r="L109" s="326">
        <f>G106/L106*$E$56</f>
        <v>0.0700000000000017</v>
      </c>
      <c r="M109" s="326">
        <f>G106/M106*$E$56</f>
        <v>0.116666666666667</v>
      </c>
      <c r="N109" s="326">
        <f>G106/N106*$E$56</f>
        <v>0.694324324324324</v>
      </c>
      <c r="O109" s="326">
        <f>G106/O106*$E$56</f>
        <v>0.114144144144148</v>
      </c>
      <c r="P109" s="326">
        <f>G106/P106*$E$56</f>
        <v>0.139369369369372</v>
      </c>
      <c r="Q109" s="326">
        <f>G106/Q106*$E$56</f>
        <v>0.103953153153157</v>
      </c>
      <c r="R109" s="326">
        <f>G106/R106*$E$56</f>
        <v>0.0763063063063077</v>
      </c>
      <c r="S109" s="326">
        <f>G106/S106*$E$56</f>
        <v>0.0810360360360375</v>
      </c>
      <c r="T109" s="327"/>
      <c r="U109" s="326">
        <f>G106/U106*$E$56</f>
        <v>0.0763063063063077</v>
      </c>
      <c r="V109" s="326"/>
      <c r="W109" s="326"/>
      <c r="X109" s="326"/>
      <c r="Y109" s="338"/>
      <c r="Z109" s="326"/>
      <c r="AA109" s="326"/>
      <c r="AB109" s="326"/>
      <c r="AC109" s="338"/>
    </row>
    <row r="110" ht="16.5" spans="3:29">
      <c r="D110" s="296"/>
      <c r="E110" s="296">
        <f>SUM(F110:S110)</f>
        <v>1</v>
      </c>
      <c r="F110" s="296"/>
      <c r="G110" s="339">
        <f>SUM(G108:H108)</f>
        <v>0.458738802664623</v>
      </c>
      <c r="H110" s="296"/>
      <c r="I110" s="339">
        <f>SUM(I108:M108)</f>
        <v>0.151552641215657</v>
      </c>
      <c r="J110" s="296"/>
      <c r="K110" s="296"/>
      <c r="L110" s="296"/>
      <c r="M110" s="296"/>
      <c r="N110" s="339">
        <f>SUM(N108:U108)-P108</f>
        <v>0.389708556119721</v>
      </c>
      <c r="O110" s="296"/>
      <c r="P110" s="296"/>
      <c r="Q110" s="296"/>
      <c r="R110" s="296"/>
      <c r="S110" s="296"/>
      <c r="T110" s="340"/>
      <c r="U110" s="341"/>
      <c r="V110" s="269"/>
      <c r="W110" s="269"/>
      <c r="X110" s="269"/>
      <c r="Y110" s="342"/>
      <c r="Z110" s="269"/>
      <c r="AA110" s="269"/>
      <c r="AB110" s="269"/>
      <c r="AC110" s="342"/>
    </row>
    <row r="112" ht="16.5" spans="3:29">
      <c r="C112">
        <f>(G112-G103)/(E116-E107)</f>
        <v>101.273008240739</v>
      </c>
      <c r="D112" s="319" t="s">
        <v>514</v>
      </c>
      <c r="E112" s="320"/>
      <c r="F112" s="321">
        <f>(G112+N112)*(H112)*(S112)*I112*J112*K112*L112*M112*O112*P112*Q112*R112*U112</f>
        <v>501775.448907102</v>
      </c>
      <c r="G112" s="330">
        <v>5000</v>
      </c>
      <c r="H112" s="331">
        <v>1.4</v>
      </c>
      <c r="I112" s="331">
        <f>I94</f>
        <v>1.35</v>
      </c>
      <c r="J112" s="331">
        <f>J103</f>
        <v>1</v>
      </c>
      <c r="K112" s="331">
        <v>1</v>
      </c>
      <c r="L112" s="331">
        <v>1.1</v>
      </c>
      <c r="M112" s="331">
        <f>100%+6%*19</f>
        <v>2.14</v>
      </c>
      <c r="N112" s="330">
        <f>64*5</f>
        <v>320</v>
      </c>
      <c r="O112" s="331">
        <v>2</v>
      </c>
      <c r="P112" s="331">
        <v>2.4</v>
      </c>
      <c r="Q112" s="331">
        <f>1.28*1.28*1.28</f>
        <v>2.097152</v>
      </c>
      <c r="R112" s="331">
        <v>1.3</v>
      </c>
      <c r="S112" s="331">
        <f>5%*T112+0.95</f>
        <v>1.35</v>
      </c>
      <c r="T112" s="331">
        <v>8</v>
      </c>
      <c r="U112" s="331">
        <v>1.2</v>
      </c>
      <c r="V112" s="331"/>
      <c r="W112" s="331"/>
      <c r="X112" s="331"/>
      <c r="Y112" s="331"/>
      <c r="Z112" s="331"/>
      <c r="AA112" s="331"/>
      <c r="AB112" s="331"/>
      <c r="AC112" s="331"/>
    </row>
    <row r="113" ht="16.5" spans="4:29">
      <c r="D113" s="319" t="s">
        <v>505</v>
      </c>
      <c r="E113" s="321"/>
      <c r="F113" s="321">
        <f>F112*1.01</f>
        <v>506793.203396173</v>
      </c>
      <c r="G113" s="321">
        <f>G112*1.01</f>
        <v>5050</v>
      </c>
      <c r="H113" s="320">
        <f t="shared" ref="H113:M113" si="29">H112+1%</f>
        <v>1.41</v>
      </c>
      <c r="I113" s="326">
        <f t="shared" si="29"/>
        <v>1.36</v>
      </c>
      <c r="J113" s="326">
        <f t="shared" si="29"/>
        <v>1.01</v>
      </c>
      <c r="K113" s="326">
        <f t="shared" si="29"/>
        <v>1.01</v>
      </c>
      <c r="L113" s="326">
        <f t="shared" si="29"/>
        <v>1.11</v>
      </c>
      <c r="M113" s="326">
        <f t="shared" si="29"/>
        <v>2.15</v>
      </c>
      <c r="N113" s="332">
        <f>N112+1%*N112</f>
        <v>323.2</v>
      </c>
      <c r="O113" s="320">
        <f t="shared" ref="O113:S113" si="30">O112+1%</f>
        <v>2.01</v>
      </c>
      <c r="P113" s="320">
        <f>P112+0.01</f>
        <v>2.41</v>
      </c>
      <c r="Q113" s="320">
        <f t="shared" si="30"/>
        <v>2.107152</v>
      </c>
      <c r="R113" s="320">
        <f t="shared" si="30"/>
        <v>1.31</v>
      </c>
      <c r="S113" s="320">
        <f t="shared" si="30"/>
        <v>1.36</v>
      </c>
      <c r="T113" s="324"/>
      <c r="U113" s="320">
        <f>U112+1%</f>
        <v>1.21</v>
      </c>
      <c r="V113" s="320"/>
      <c r="W113" s="320"/>
      <c r="X113" s="320"/>
      <c r="Y113" s="320"/>
      <c r="Z113" s="320"/>
      <c r="AA113" s="320"/>
      <c r="AB113" s="320"/>
      <c r="AC113" s="320"/>
    </row>
    <row r="114" ht="16.5" spans="4:29">
      <c r="D114" s="319" t="s">
        <v>201</v>
      </c>
      <c r="E114" s="321">
        <f>F112/((G112+N112)*(H112)*(S112*100%)*I112*J112*K112*L112*M112*O112*P112*Q112*R112*U112)</f>
        <v>1</v>
      </c>
      <c r="F114" s="321">
        <f>F113/((G112+N112)*(H112)*(S112*100%)*I112*M112*P112*O112*Q112*R112*U112*K112*J112*L112)</f>
        <v>1.01</v>
      </c>
      <c r="G114" s="321">
        <f>F112/((G113+N112)*(H112)*(S112*100%)*I112*M112*P112*O112*Q112*R112*U112*K112*J112*L112)</f>
        <v>0.990689013035382</v>
      </c>
      <c r="H114" s="321">
        <f>F112/((G112+N112)*(H113)*(S112*100%)*I112*M112*P112*O112*Q112*R112*U112*K112*J112*L112)</f>
        <v>0.99290780141844</v>
      </c>
      <c r="I114" s="321">
        <f>F112/((G112+N112)*(H112)*(S112*100%)*I113*M112*P112*O112*Q112*R112*U112*K112*J112*L112)</f>
        <v>0.99264705882353</v>
      </c>
      <c r="J114" s="321">
        <f>F112/((G112+N112)*(H112)*(S112*100%)*I112*M112*P112*O112*Q112*R112*U112*K112*J113*L112)</f>
        <v>0.99009900990099</v>
      </c>
      <c r="K114" s="321">
        <f>F112/((G112+N112)*(H112)*(S112*100%)*I112*M112*P112*O112*Q112*R112*U112*K113*J112*L112)</f>
        <v>0.99009900990099</v>
      </c>
      <c r="L114" s="321">
        <f>F112/((G112+N112)*(H112)*(S112*100%)*I112*M112*P112*O112*Q112*R112*U112*K112*J112*L113)</f>
        <v>0.990990990990991</v>
      </c>
      <c r="M114" s="321">
        <f>F112/((G112+N112)*(H112)*(S112*100%)*I112*M113*P112*O112*Q112*R112*U112*K112*J112*L112)</f>
        <v>0.995348837209303</v>
      </c>
      <c r="N114" s="321">
        <f>F112/((G112+N113)*(H112)*(S112*100%)*I112*M112*P112*O112*Q112*R112*U112*K112*J112*L112)</f>
        <v>0.999398857829877</v>
      </c>
      <c r="O114" s="321">
        <f>F112/((G112+N112)*(H112)*(S112*100%)*I112*M112*P112*O113*Q112*R112*U112*K112*J112*L112)</f>
        <v>0.995024875621891</v>
      </c>
      <c r="P114" s="321">
        <f>F112/((G112+N112)*(H112)*(S112*100%)*I112*M112*P113*O112*Q112*R112*U112*K112*J112*L112)</f>
        <v>0.995850622406639</v>
      </c>
      <c r="Q114" s="321">
        <f>F112/((G112+N112)*(H112)*(S112*100%)*I112*M112*P112*O112*Q113*R112*U112*K112*J112*L112)</f>
        <v>0.99525425787983</v>
      </c>
      <c r="R114" s="321">
        <f>F112/((G112+N112)*(H112)*(S112*100%)*I112*M112*P112*O112*Q112*R113*U112*K112*J112*L112)</f>
        <v>0.992366412213741</v>
      </c>
      <c r="S114" s="321">
        <f>F112/((G112+N112)*(H112)*(S113)*I112*M112*P112*O112*Q112*R112*U112*K112*J112*L112)</f>
        <v>0.99264705882353</v>
      </c>
      <c r="T114" s="325"/>
      <c r="U114" s="321">
        <f>F112/((G112+N112)*(H112)*(S112)*I112*M112*P112*O112*Q112*R112*U113*K112*J112*L112)</f>
        <v>0.991735537190083</v>
      </c>
      <c r="V114" s="321"/>
      <c r="W114" s="321"/>
      <c r="X114" s="321"/>
      <c r="Y114" s="321"/>
      <c r="Z114" s="321"/>
      <c r="AA114" s="321"/>
      <c r="AB114" s="321"/>
      <c r="AC114" s="321"/>
    </row>
    <row r="115" ht="16.5" spans="4:29">
      <c r="D115" s="319" t="s">
        <v>506</v>
      </c>
      <c r="E115" s="321"/>
      <c r="F115" s="321">
        <f>ABS(F114-E114)/ABS(F114-E114)</f>
        <v>1</v>
      </c>
      <c r="G115" s="321">
        <f>ABS(G114-E114)/ABS(F114-E114)</f>
        <v>0.931098696461786</v>
      </c>
      <c r="H115" s="321">
        <f>ABS(H114-E114)/ABS(F114-E114)</f>
        <v>0.709219858156013</v>
      </c>
      <c r="I115" s="321">
        <f>ABS(I114-E114)/ABS(F114-E114)</f>
        <v>0.735294117647028</v>
      </c>
      <c r="J115" s="321">
        <f>ABS(J114-E114)/ABS(F114-E114)</f>
        <v>0.990099009900957</v>
      </c>
      <c r="K115" s="321">
        <f>ABS(K114-E114)/ABS(F114-E114)</f>
        <v>0.990099009900957</v>
      </c>
      <c r="L115" s="321">
        <f>ABS(L114-E114)/ABS(F114-E114)</f>
        <v>0.900900900900871</v>
      </c>
      <c r="M115" s="321">
        <f>ABS(M114-E114)/ABS(F114-E114)</f>
        <v>0.465116279069722</v>
      </c>
      <c r="N115" s="321">
        <f>ABS(N114-E114)/ABS(F114-E114)</f>
        <v>0.0601142170123067</v>
      </c>
      <c r="O115" s="321">
        <f>ABS(O114-E114)/ABS(F114-E114)</f>
        <v>0.497512437810909</v>
      </c>
      <c r="P115" s="321">
        <f>ABS(P114-E114)/ABS(F114-E114)</f>
        <v>0.414937759336077</v>
      </c>
      <c r="Q115" s="321">
        <f>ABS(Q114-E114)/ABS(F114-E114)</f>
        <v>0.474574212016943</v>
      </c>
      <c r="R115" s="321">
        <f>ABS(R114-E114)/ABS(F114-E114)</f>
        <v>0.763358778625927</v>
      </c>
      <c r="S115" s="321">
        <f>ABS(S114-E114)/ABS(F114-E114)</f>
        <v>0.735294117647028</v>
      </c>
      <c r="T115" s="325"/>
      <c r="U115" s="321">
        <f>ABS(U114-E114)/ABS(F114-E114)</f>
        <v>0.826446280991714</v>
      </c>
      <c r="V115" s="321"/>
      <c r="W115" s="321"/>
      <c r="X115" s="321"/>
      <c r="Y115" s="321"/>
      <c r="Z115" s="321"/>
      <c r="AA115" s="321"/>
      <c r="AB115" s="321"/>
      <c r="AC115" s="321"/>
    </row>
    <row r="116" ht="16.5" spans="4:29">
      <c r="D116" s="319" t="s">
        <v>507</v>
      </c>
      <c r="E116" s="333">
        <f>SUM(G116:U116)+10-$P116</f>
        <v>95.5960178421078</v>
      </c>
      <c r="F116" s="321"/>
      <c r="G116" s="334">
        <f>LOG(G112/(G$58+N$58),G$64+1)</f>
        <v>33.1711648916348</v>
      </c>
      <c r="H116" s="334">
        <f t="shared" ref="H116:M116" si="31">LOG(H112/H$58,H$64+1)</f>
        <v>5.81943319127802</v>
      </c>
      <c r="I116" s="334">
        <f t="shared" si="31"/>
        <v>2.42474884256039</v>
      </c>
      <c r="J116" s="334">
        <f t="shared" si="31"/>
        <v>0</v>
      </c>
      <c r="K116" s="334">
        <f t="shared" si="31"/>
        <v>0</v>
      </c>
      <c r="L116" s="334">
        <f t="shared" si="31"/>
        <v>1.64843087616875</v>
      </c>
      <c r="M116" s="334">
        <f t="shared" si="31"/>
        <v>8.39820945235856</v>
      </c>
      <c r="N116" s="334">
        <f>LOG((N112+G112)/(G112),G$64+1)</f>
        <v>0.916887823194717</v>
      </c>
      <c r="O116" s="334">
        <f t="shared" ref="O116:S116" si="32">LOG(O112/O$58,O$64+1)</f>
        <v>8.16939601242282</v>
      </c>
      <c r="P116" s="334">
        <f t="shared" si="32"/>
        <v>12.3120217013769</v>
      </c>
      <c r="Q116" s="334">
        <f t="shared" si="32"/>
        <v>12.8086561810458</v>
      </c>
      <c r="R116" s="334">
        <f t="shared" si="32"/>
        <v>4.53770368747002</v>
      </c>
      <c r="S116" s="334">
        <f t="shared" si="32"/>
        <v>4.54805652380319</v>
      </c>
      <c r="T116" s="335"/>
      <c r="U116" s="334">
        <f>LOG(U112/U$58,U$64+1)</f>
        <v>3.15333036017073</v>
      </c>
      <c r="V116" s="334"/>
      <c r="W116" s="334"/>
      <c r="X116" s="334"/>
      <c r="Y116" s="334"/>
      <c r="Z116" s="334"/>
      <c r="AA116" s="334"/>
      <c r="AB116" s="334"/>
      <c r="AC116" s="334"/>
    </row>
    <row r="117" ht="16.5" spans="4:29">
      <c r="D117" s="319" t="s">
        <v>508</v>
      </c>
      <c r="E117" s="336"/>
      <c r="F117" s="321"/>
      <c r="G117" s="337">
        <f t="shared" ref="G117:S117" si="33">G116/($E116-10)</f>
        <v>0.387531636726641</v>
      </c>
      <c r="H117" s="337">
        <f t="shared" si="33"/>
        <v>0.067987195409168</v>
      </c>
      <c r="I117" s="337">
        <f t="shared" si="33"/>
        <v>0.028327822995611</v>
      </c>
      <c r="J117" s="337">
        <f t="shared" si="33"/>
        <v>0</v>
      </c>
      <c r="K117" s="337">
        <f t="shared" si="33"/>
        <v>0</v>
      </c>
      <c r="L117" s="337">
        <f t="shared" si="33"/>
        <v>0.0192582659535573</v>
      </c>
      <c r="M117" s="337">
        <f t="shared" si="33"/>
        <v>0.0981144878474379</v>
      </c>
      <c r="N117" s="337">
        <f t="shared" si="33"/>
        <v>0.0107118046646285</v>
      </c>
      <c r="O117" s="337">
        <f t="shared" si="33"/>
        <v>0.0954413092848812</v>
      </c>
      <c r="P117" s="337">
        <f t="shared" si="33"/>
        <v>0.143838720676094</v>
      </c>
      <c r="Q117" s="337">
        <f t="shared" si="33"/>
        <v>0.149640795260743</v>
      </c>
      <c r="R117" s="337">
        <f t="shared" si="33"/>
        <v>0.0530130232908774</v>
      </c>
      <c r="S117" s="337">
        <f t="shared" si="33"/>
        <v>0.0531339732672218</v>
      </c>
      <c r="T117" s="327"/>
      <c r="U117" s="337">
        <f>U116/($E116-10)</f>
        <v>0.0368396852992323</v>
      </c>
      <c r="V117" s="337"/>
      <c r="W117" s="337"/>
      <c r="X117" s="337"/>
      <c r="Y117" s="337"/>
      <c r="Z117" s="337"/>
      <c r="AA117" s="337"/>
      <c r="AB117" s="337"/>
      <c r="AC117" s="337"/>
    </row>
    <row r="118" ht="16.5" spans="4:29">
      <c r="D118" s="319" t="s">
        <v>509</v>
      </c>
      <c r="E118" s="321"/>
      <c r="F118" s="321"/>
      <c r="G118" s="326">
        <f>G115/G115*$E$56</f>
        <v>0.07</v>
      </c>
      <c r="H118" s="326">
        <f>G115/H115*$E$56</f>
        <v>0.0918994413407803</v>
      </c>
      <c r="I118" s="326">
        <f>G115/I115*$E$56</f>
        <v>0.0886405959031657</v>
      </c>
      <c r="J118" s="326">
        <f>G115/J115*$E$56</f>
        <v>0.0658286778398505</v>
      </c>
      <c r="K118" s="326">
        <f>G115/K115*$E$56</f>
        <v>0.0658286778398505</v>
      </c>
      <c r="L118" s="326">
        <f>G115/L115*$E$56</f>
        <v>0.0723463687150832</v>
      </c>
      <c r="M118" s="326">
        <f>G115/M115*$E$56</f>
        <v>0.140130353817512</v>
      </c>
      <c r="N118" s="326">
        <f>G115/N115*$E$56</f>
        <v>1.08421787709523</v>
      </c>
      <c r="O118" s="326">
        <f>G115/O115*$E$56</f>
        <v>0.131005586592183</v>
      </c>
      <c r="P118" s="326">
        <f>G115/P115*$E$56</f>
        <v>0.157076350093112</v>
      </c>
      <c r="Q118" s="326">
        <f>G115/Q115*$E$56</f>
        <v>0.137337653631289</v>
      </c>
      <c r="R118" s="326">
        <f>G115/R115*$E$56</f>
        <v>0.0853817504655488</v>
      </c>
      <c r="S118" s="326">
        <f>G115/S115*$E$56</f>
        <v>0.0886405959031657</v>
      </c>
      <c r="T118" s="327"/>
      <c r="U118" s="326">
        <f>G115/U115*$E$56</f>
        <v>0.0788640595903153</v>
      </c>
      <c r="V118" s="326"/>
      <c r="W118" s="326"/>
      <c r="X118" s="326"/>
      <c r="Y118" s="338"/>
      <c r="Z118" s="326"/>
      <c r="AA118" s="326"/>
      <c r="AB118" s="326"/>
      <c r="AC118" s="338"/>
    </row>
    <row r="119" ht="16.5" spans="4:29">
      <c r="E119" s="296">
        <f>SUM(F119:S119)</f>
        <v>1</v>
      </c>
      <c r="F119" s="296"/>
      <c r="G119" s="339">
        <f>SUM(G117:H117)</f>
        <v>0.455518832135809</v>
      </c>
      <c r="H119" s="296"/>
      <c r="I119" s="339">
        <f>SUM(I117:M117)</f>
        <v>0.145700576796606</v>
      </c>
      <c r="J119" s="296"/>
      <c r="K119" s="296"/>
      <c r="L119" s="296"/>
      <c r="M119" s="296"/>
      <c r="N119" s="339">
        <f>SUM(N117:U117)-P117</f>
        <v>0.398780591067584</v>
      </c>
      <c r="O119" s="296"/>
      <c r="P119" s="296"/>
      <c r="Q119" s="296"/>
      <c r="R119" s="296"/>
      <c r="S119" s="296"/>
      <c r="T119" s="340"/>
      <c r="U119" s="341"/>
    </row>
    <row r="150" spans="12:13">
      <c r="L150" s="42"/>
      <c r="M150" s="42" t="s">
        <v>515</v>
      </c>
    </row>
    <row r="151" spans="12:13">
      <c r="L151" s="42" t="s">
        <v>516</v>
      </c>
      <c r="M151" s="343">
        <f>20/35</f>
        <v>0.571428571428571</v>
      </c>
    </row>
    <row r="152" spans="12:13">
      <c r="L152" s="42" t="s">
        <v>517</v>
      </c>
      <c r="M152" s="343">
        <f>16.65/25.74</f>
        <v>0.646853146853147</v>
      </c>
    </row>
  </sheetData>
  <autoFilter xmlns:etc="http://www.wps.cn/officeDocument/2017/etCustomData" ref="D57:AC92" etc:filterBottomFollowUsedRange="0">
    <extLst/>
  </autoFilter>
  <mergeCells count="12">
    <mergeCell ref="G6:H6"/>
    <mergeCell ref="G56:H56"/>
    <mergeCell ref="I56:M56"/>
    <mergeCell ref="N56:U56"/>
    <mergeCell ref="W56:Z56"/>
    <mergeCell ref="AA56:AC56"/>
    <mergeCell ref="D27:D28"/>
    <mergeCell ref="D29:D33"/>
    <mergeCell ref="D34:D41"/>
    <mergeCell ref="I27:I28"/>
    <mergeCell ref="I29:I33"/>
    <mergeCell ref="I34:I41"/>
  </mergeCells>
  <pageMargins left="0.75" right="0.75" top="1" bottom="1" header="0.5" footer="0.5"/>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9"/>
  </sheetPr>
  <dimension ref="A2:BA723"/>
  <sheetViews>
    <sheetView showGridLines="0" topLeftCell="A108" workbookViewId="0">
      <selection activeCell="G124" sqref="G124"/>
    </sheetView>
  </sheetViews>
  <sheetFormatPr defaultColWidth="9.14285714285714" defaultRowHeight="16.5"/>
  <cols>
    <col min="1" max="1" width="17.8571428571429" style="19"/>
    <col min="2" max="2" width="3.28571428571429" style="19" customWidth="1"/>
    <col min="3" max="3" width="13" style="19" customWidth="1"/>
    <col min="4" max="7" width="16" style="19" customWidth="1"/>
    <col min="8" max="8" width="15.8571428571429" style="19"/>
    <col min="9" max="9" width="9.14285714285714" style="19"/>
    <col min="10" max="10" width="14.5714285714286" style="19"/>
    <col min="11" max="12" width="12.8571428571429" style="19"/>
    <col min="13" max="13" width="13.5714285714286" style="19" customWidth="1"/>
    <col min="14" max="14" width="10" style="19" customWidth="1"/>
    <col min="15" max="15" width="15.647619047619" style="19" customWidth="1"/>
    <col min="16" max="32" width="10" style="19" customWidth="1"/>
    <col min="33" max="33" width="14.5714285714286" style="19"/>
    <col min="34" max="34" width="9.14285714285714" style="19"/>
    <col min="35" max="35" width="14.5714285714286" style="19"/>
    <col min="36" max="36" width="15.8571428571429" style="19"/>
    <col min="37" max="53" width="14.5714285714286" style="19"/>
    <col min="54" max="16384" width="9.14285714285714" style="19"/>
  </cols>
  <sheetData>
    <row r="2" spans="2:16">
      <c r="B2" s="18"/>
      <c r="C2" s="17" t="s">
        <v>518</v>
      </c>
    </row>
    <row r="4" spans="2:16">
      <c r="C4" s="80" t="s">
        <v>519</v>
      </c>
    </row>
    <row r="5" spans="2:16">
      <c r="D5" s="80" t="s">
        <v>520</v>
      </c>
      <c r="M5" s="19" t="s">
        <v>521</v>
      </c>
    </row>
    <row r="6" spans="2:16">
      <c r="C6" s="25" t="s">
        <v>522</v>
      </c>
      <c r="D6" s="25" t="s">
        <v>523</v>
      </c>
      <c r="E6" s="25" t="s">
        <v>184</v>
      </c>
      <c r="F6" s="25" t="s">
        <v>524</v>
      </c>
      <c r="G6" s="233" t="s">
        <v>525</v>
      </c>
      <c r="H6" s="25" t="s">
        <v>526</v>
      </c>
      <c r="I6" s="25" t="s">
        <v>527</v>
      </c>
      <c r="J6" s="25" t="s">
        <v>528</v>
      </c>
      <c r="K6" s="25" t="s">
        <v>529</v>
      </c>
      <c r="L6" s="25" t="s">
        <v>530</v>
      </c>
      <c r="M6" s="233" t="s">
        <v>531</v>
      </c>
      <c r="N6" s="234" t="s">
        <v>532</v>
      </c>
      <c r="O6" s="234" t="s">
        <v>533</v>
      </c>
      <c r="P6" s="161" t="s">
        <v>534</v>
      </c>
    </row>
    <row r="7" spans="2:16">
      <c r="C7" s="235" t="s">
        <v>535</v>
      </c>
      <c r="D7" s="235" t="s">
        <v>249</v>
      </c>
      <c r="E7" s="235" t="s">
        <v>536</v>
      </c>
      <c r="F7" s="236" t="s">
        <v>537</v>
      </c>
      <c r="G7" s="237" t="s">
        <v>538</v>
      </c>
      <c r="H7" s="235" t="s">
        <v>539</v>
      </c>
      <c r="I7" s="238" t="s">
        <v>540</v>
      </c>
      <c r="J7" s="239" t="s">
        <v>541</v>
      </c>
      <c r="K7" s="236" t="s">
        <v>542</v>
      </c>
      <c r="L7" s="235"/>
      <c r="M7" s="25"/>
      <c r="N7" s="25"/>
      <c r="O7" s="25"/>
      <c r="P7" s="25"/>
    </row>
    <row r="8" ht="49.5" spans="2:16">
      <c r="C8" s="235" t="s">
        <v>543</v>
      </c>
      <c r="D8" s="235" t="s">
        <v>544</v>
      </c>
      <c r="E8" s="235" t="s">
        <v>545</v>
      </c>
      <c r="F8" s="240" t="s">
        <v>546</v>
      </c>
      <c r="G8" s="237" t="s">
        <v>547</v>
      </c>
      <c r="H8" s="235" t="s">
        <v>548</v>
      </c>
      <c r="I8" s="241"/>
      <c r="J8" s="242"/>
      <c r="K8" s="236" t="s">
        <v>549</v>
      </c>
      <c r="L8" s="235"/>
      <c r="M8" s="25"/>
      <c r="N8" s="25"/>
      <c r="O8" s="25"/>
      <c r="P8" s="25"/>
    </row>
    <row r="9" spans="2:16">
      <c r="C9" s="25" t="s">
        <v>550</v>
      </c>
      <c r="D9" s="28" t="s">
        <v>371</v>
      </c>
      <c r="E9" s="25" t="s">
        <v>551</v>
      </c>
      <c r="F9" s="243" t="s">
        <v>552</v>
      </c>
      <c r="G9" s="244" t="s">
        <v>553</v>
      </c>
      <c r="H9" s="25"/>
      <c r="I9" s="25" t="s">
        <v>540</v>
      </c>
      <c r="J9" s="25" t="s">
        <v>554</v>
      </c>
      <c r="K9" s="243" t="s">
        <v>555</v>
      </c>
      <c r="L9" s="25"/>
      <c r="M9" s="243" t="s">
        <v>556</v>
      </c>
      <c r="N9" s="243"/>
      <c r="O9" s="243"/>
      <c r="P9" s="243"/>
    </row>
    <row r="10" spans="2:16">
      <c r="C10" s="25" t="s">
        <v>557</v>
      </c>
      <c r="D10" s="28" t="s">
        <v>558</v>
      </c>
      <c r="E10" s="25"/>
      <c r="F10" s="245"/>
      <c r="G10" s="244"/>
      <c r="H10" s="25"/>
      <c r="I10" s="25"/>
      <c r="J10" s="25"/>
      <c r="K10" s="245"/>
      <c r="L10" s="161"/>
      <c r="M10" s="233"/>
      <c r="N10" s="234"/>
      <c r="O10" s="234"/>
      <c r="P10" s="161"/>
    </row>
    <row r="11" spans="2:16">
      <c r="C11" s="25" t="s">
        <v>559</v>
      </c>
      <c r="D11" s="25" t="s">
        <v>560</v>
      </c>
      <c r="E11" s="25" t="s">
        <v>561</v>
      </c>
      <c r="F11" s="243" t="s">
        <v>562</v>
      </c>
      <c r="G11" s="25" t="s">
        <v>547</v>
      </c>
      <c r="H11" s="25"/>
      <c r="I11" s="25" t="s">
        <v>563</v>
      </c>
      <c r="J11" s="246" t="s">
        <v>541</v>
      </c>
      <c r="K11" s="245" t="s">
        <v>564</v>
      </c>
      <c r="L11" s="161"/>
      <c r="M11" s="25"/>
      <c r="N11" s="25"/>
      <c r="O11" s="25"/>
      <c r="P11" s="25"/>
    </row>
    <row r="12" spans="2:16">
      <c r="C12" s="25" t="s">
        <v>565</v>
      </c>
      <c r="D12" s="25" t="s">
        <v>266</v>
      </c>
      <c r="E12" s="25"/>
      <c r="F12" s="243"/>
      <c r="G12" s="25"/>
      <c r="H12" s="25"/>
      <c r="I12" s="25"/>
      <c r="J12" s="25"/>
      <c r="K12" s="25"/>
      <c r="L12" s="25"/>
      <c r="M12" s="25"/>
      <c r="N12" s="25"/>
      <c r="O12" s="25"/>
      <c r="P12" s="25"/>
    </row>
    <row r="14" spans="2:16">
      <c r="C14" s="80" t="s">
        <v>566</v>
      </c>
      <c r="D14" s="80"/>
    </row>
    <row r="15" spans="2:16">
      <c r="C15" s="80"/>
      <c r="D15" s="80" t="s">
        <v>567</v>
      </c>
    </row>
    <row r="16" spans="2:16">
      <c r="C16" s="80"/>
      <c r="D16" s="80"/>
      <c r="E16" s="80" t="s">
        <v>568</v>
      </c>
    </row>
    <row r="17" spans="3:12">
      <c r="C17" s="80"/>
      <c r="D17" s="80" t="s">
        <v>569</v>
      </c>
    </row>
    <row r="18" spans="3:12">
      <c r="C18" s="80"/>
      <c r="D18" s="80"/>
      <c r="E18" s="247" t="s">
        <v>570</v>
      </c>
      <c r="F18" s="247" t="s">
        <v>571</v>
      </c>
      <c r="G18" s="247" t="s">
        <v>572</v>
      </c>
      <c r="L18" s="19" t="s">
        <v>544</v>
      </c>
    </row>
    <row r="19" spans="3:12">
      <c r="C19" s="80"/>
      <c r="D19" s="80"/>
      <c r="E19" s="248">
        <v>3</v>
      </c>
      <c r="F19" s="249">
        <v>1.15</v>
      </c>
      <c r="G19" s="249">
        <v>0.05</v>
      </c>
      <c r="L19" s="19" t="s">
        <v>573</v>
      </c>
    </row>
    <row r="20" spans="3:12">
      <c r="C20" s="80"/>
      <c r="D20" s="80"/>
      <c r="E20" s="248">
        <v>4</v>
      </c>
      <c r="F20" s="249">
        <v>1.3</v>
      </c>
      <c r="G20" s="249">
        <v>0.06</v>
      </c>
    </row>
    <row r="21" spans="3:12">
      <c r="C21" s="80"/>
      <c r="D21" s="80"/>
      <c r="E21" s="248">
        <v>5</v>
      </c>
      <c r="F21" s="249">
        <v>1.65</v>
      </c>
      <c r="G21" s="249">
        <v>0.1</v>
      </c>
    </row>
    <row r="22" spans="3:12">
      <c r="C22" s="80"/>
      <c r="D22" s="80"/>
      <c r="E22" s="19">
        <v>6</v>
      </c>
      <c r="F22" s="226">
        <f t="shared" ref="F22:F27" si="0">F21*2</f>
        <v>3.3</v>
      </c>
      <c r="G22" s="226">
        <v>0.1</v>
      </c>
    </row>
    <row r="23" spans="3:12">
      <c r="C23" s="80"/>
      <c r="D23" s="80"/>
      <c r="E23" s="19">
        <v>7</v>
      </c>
      <c r="F23" s="226">
        <f t="shared" si="0"/>
        <v>6.6</v>
      </c>
      <c r="G23" s="226">
        <v>0.1</v>
      </c>
    </row>
    <row r="24" hidden="1" spans="3:12">
      <c r="C24" s="80"/>
      <c r="D24" s="80"/>
      <c r="E24" s="19">
        <v>7</v>
      </c>
      <c r="F24" s="226">
        <f t="shared" si="0"/>
        <v>13.2</v>
      </c>
      <c r="G24" s="226">
        <v>0.1</v>
      </c>
    </row>
    <row r="25" hidden="1" spans="3:12">
      <c r="C25" s="80"/>
      <c r="D25" s="80"/>
      <c r="E25" s="19">
        <v>8</v>
      </c>
      <c r="F25" s="226">
        <f t="shared" si="0"/>
        <v>26.4</v>
      </c>
      <c r="G25" s="226">
        <v>0.1</v>
      </c>
    </row>
    <row r="26" hidden="1" spans="3:12">
      <c r="E26" s="19">
        <v>9</v>
      </c>
      <c r="F26" s="226">
        <f t="shared" si="0"/>
        <v>52.8</v>
      </c>
      <c r="G26" s="226">
        <v>0.1</v>
      </c>
    </row>
    <row r="27" hidden="1" spans="3:12">
      <c r="E27" s="19">
        <v>10</v>
      </c>
      <c r="F27" s="226">
        <f t="shared" si="0"/>
        <v>105.6</v>
      </c>
      <c r="G27" s="226">
        <v>0.1</v>
      </c>
    </row>
    <row r="28" spans="3:12">
      <c r="F28" s="226"/>
      <c r="G28" s="226"/>
    </row>
    <row r="29" spans="3:12">
      <c r="E29" s="80" t="s">
        <v>574</v>
      </c>
      <c r="F29" s="226"/>
      <c r="G29" s="226"/>
    </row>
    <row r="30" spans="3:12">
      <c r="E30" s="80" t="s">
        <v>575</v>
      </c>
      <c r="F30" s="226"/>
      <c r="G30" s="226"/>
    </row>
    <row r="31" spans="3:12">
      <c r="E31" s="80" t="s">
        <v>576</v>
      </c>
      <c r="F31" s="226"/>
      <c r="G31" s="226"/>
    </row>
    <row r="32" spans="3:12">
      <c r="E32" s="80" t="s">
        <v>577</v>
      </c>
      <c r="F32" s="226"/>
      <c r="G32" s="226"/>
    </row>
    <row r="33" spans="3:15">
      <c r="F33" s="226"/>
      <c r="G33" s="226"/>
    </row>
    <row r="34" spans="3:15">
      <c r="D34" s="80" t="s">
        <v>578</v>
      </c>
      <c r="F34" s="226"/>
      <c r="G34" s="226"/>
    </row>
    <row r="35" spans="3:15">
      <c r="E35" s="80" t="s">
        <v>579</v>
      </c>
      <c r="F35" s="226"/>
      <c r="G35" s="226"/>
    </row>
    <row r="36" spans="3:15">
      <c r="E36" s="80" t="s">
        <v>580</v>
      </c>
      <c r="F36" s="226"/>
      <c r="G36" s="226"/>
    </row>
    <row r="37" spans="3:15">
      <c r="F37" s="226"/>
      <c r="G37" s="226"/>
    </row>
    <row r="39" spans="3:15">
      <c r="C39" s="19" t="s">
        <v>581</v>
      </c>
      <c r="D39" s="250">
        <v>1.07</v>
      </c>
      <c r="E39" s="251">
        <f>LOG(1+D42,D39)</f>
        <v>2.69472655612558</v>
      </c>
    </row>
    <row r="41" spans="3:15">
      <c r="C41" s="19" t="s">
        <v>582</v>
      </c>
      <c r="D41" s="19" t="s">
        <v>583</v>
      </c>
      <c r="E41" s="19" t="s">
        <v>584</v>
      </c>
      <c r="F41" s="19" t="s">
        <v>585</v>
      </c>
      <c r="G41" s="19" t="s">
        <v>586</v>
      </c>
    </row>
    <row r="42" spans="3:15">
      <c r="C42" s="19" t="s">
        <v>246</v>
      </c>
      <c r="D42" s="226">
        <v>0.2</v>
      </c>
      <c r="E42" s="252">
        <f>F42/LOG(D42+1,1.07)</f>
        <v>18554.7583246772</v>
      </c>
      <c r="F42" s="19">
        <v>50000</v>
      </c>
      <c r="G42" s="86">
        <f>E42/10</f>
        <v>1855.47583246772</v>
      </c>
      <c r="I42" s="19" t="s">
        <v>587</v>
      </c>
    </row>
    <row r="43" spans="3:15">
      <c r="C43" s="19" t="s">
        <v>239</v>
      </c>
      <c r="D43" s="226">
        <v>0.2</v>
      </c>
      <c r="E43" s="252">
        <f>F43/LOG(D43+1,1.07)</f>
        <v>3710.95166493545</v>
      </c>
      <c r="F43" s="19">
        <v>10000</v>
      </c>
      <c r="G43" s="86">
        <f>E43/10</f>
        <v>371.095166493545</v>
      </c>
    </row>
    <row r="44" spans="3:15">
      <c r="C44" s="19" t="s">
        <v>262</v>
      </c>
      <c r="D44" s="226">
        <v>0.2</v>
      </c>
      <c r="E44" s="252">
        <f>F44/LOG(D44+1,1.07)</f>
        <v>1113.28549948063</v>
      </c>
      <c r="F44" s="19">
        <v>3000</v>
      </c>
      <c r="G44" s="86">
        <f>E44/10</f>
        <v>111.328549948063</v>
      </c>
    </row>
    <row r="45" spans="3:15">
      <c r="C45" s="19" t="s">
        <v>417</v>
      </c>
      <c r="D45" s="226">
        <v>0.2</v>
      </c>
      <c r="E45" s="252">
        <f>F45/LOG(D45+1,1.07)</f>
        <v>371.095166493545</v>
      </c>
      <c r="F45" s="19">
        <v>1000</v>
      </c>
      <c r="G45" s="86">
        <f>E45/10</f>
        <v>37.1095166493545</v>
      </c>
    </row>
    <row r="46" spans="3:15">
      <c r="D46" s="226"/>
      <c r="E46" s="252"/>
      <c r="G46" s="86"/>
    </row>
    <row r="47" spans="3:15">
      <c r="D47" s="226"/>
      <c r="E47" s="252"/>
      <c r="G47" s="86"/>
    </row>
    <row r="48" spans="3:15">
      <c r="C48" s="19" t="s">
        <v>588</v>
      </c>
      <c r="D48" s="226" t="s">
        <v>589</v>
      </c>
      <c r="E48" s="252" t="s">
        <v>590</v>
      </c>
      <c r="F48" s="19" t="s">
        <v>591</v>
      </c>
      <c r="G48" s="19" t="s">
        <v>204</v>
      </c>
      <c r="H48" s="253" t="s">
        <v>592</v>
      </c>
      <c r="I48" s="19" t="s">
        <v>593</v>
      </c>
      <c r="J48" s="19" t="s">
        <v>594</v>
      </c>
      <c r="K48" s="19" t="s">
        <v>595</v>
      </c>
      <c r="L48" s="19" t="s">
        <v>596</v>
      </c>
      <c r="M48" s="19" t="s">
        <v>597</v>
      </c>
      <c r="N48" s="19" t="s">
        <v>598</v>
      </c>
      <c r="O48" s="19" t="s">
        <v>599</v>
      </c>
    </row>
    <row r="49" spans="1:14">
      <c r="A49" s="19">
        <f>IF(D49=$D$49,4,IF(D49=$D$50,5,6))</f>
        <v>4</v>
      </c>
      <c r="C49" s="19" t="s">
        <v>600</v>
      </c>
      <c r="D49" s="226" t="s">
        <v>323</v>
      </c>
      <c r="E49" s="254">
        <f>35%</f>
        <v>0.35</v>
      </c>
      <c r="F49" s="255">
        <v>30</v>
      </c>
      <c r="G49" s="255">
        <v>1500</v>
      </c>
      <c r="H49" s="256">
        <v>300</v>
      </c>
      <c r="I49" s="19">
        <v>300</v>
      </c>
      <c r="J49" s="86">
        <f t="shared" ref="J49:J57" si="1">IFERROR(G49/LOG(1+E49,1.07)+F49*5,0)</f>
        <v>488.175340410749</v>
      </c>
      <c r="K49" s="19" t="str">
        <f ca="1" t="shared" ref="K49:K57" si="2">OFFSET($C$41,MATCH(J49,$E$42:$E$45,-1)+1,0)</f>
        <v>小R</v>
      </c>
      <c r="L49" s="257">
        <f t="shared" ref="L49:L57" si="3">G49/F49</f>
        <v>50</v>
      </c>
      <c r="M49" s="255">
        <f t="shared" ref="M49:M55" si="4">IFERROR(INT(G49/E49/100),"")</f>
        <v>42</v>
      </c>
      <c r="N49" s="80" t="s">
        <v>601</v>
      </c>
    </row>
    <row r="50" spans="1:14">
      <c r="A50" s="19">
        <f>IF(D50=$D$49,4,IF(D50=$D$50,5,6))</f>
        <v>5</v>
      </c>
      <c r="C50" s="19" t="s">
        <v>600</v>
      </c>
      <c r="D50" s="226" t="s">
        <v>326</v>
      </c>
      <c r="E50" s="254">
        <f>35%</f>
        <v>0.35</v>
      </c>
      <c r="F50" s="255">
        <v>60</v>
      </c>
      <c r="G50" s="255">
        <v>4000</v>
      </c>
      <c r="H50" s="256">
        <v>1200</v>
      </c>
      <c r="I50" s="19">
        <v>2000</v>
      </c>
      <c r="J50" s="86">
        <f t="shared" si="1"/>
        <v>1201.800907762</v>
      </c>
      <c r="K50" s="19" t="str">
        <f ca="1" t="shared" si="2"/>
        <v>中R</v>
      </c>
      <c r="L50" s="257">
        <f t="shared" si="3"/>
        <v>66.6666666666667</v>
      </c>
      <c r="M50" s="255">
        <f t="shared" si="4"/>
        <v>114</v>
      </c>
    </row>
    <row r="51" spans="1:14">
      <c r="A51" s="19">
        <f>IF(D51=$D$49,4,IF(D51=$D$50,5,6))</f>
        <v>6</v>
      </c>
      <c r="C51" s="19" t="s">
        <v>600</v>
      </c>
      <c r="D51" s="226" t="s">
        <v>334</v>
      </c>
      <c r="E51" s="254">
        <f>35%</f>
        <v>0.35</v>
      </c>
      <c r="F51" s="255">
        <v>80</v>
      </c>
      <c r="G51" s="255">
        <v>8000</v>
      </c>
      <c r="H51" s="256">
        <v>2800</v>
      </c>
      <c r="I51" s="19">
        <v>4000</v>
      </c>
      <c r="J51" s="86">
        <f t="shared" si="1"/>
        <v>2203.601815524</v>
      </c>
      <c r="K51" s="19" t="str">
        <f ca="1" t="shared" si="2"/>
        <v>中R</v>
      </c>
      <c r="L51" s="257">
        <f t="shared" si="3"/>
        <v>100</v>
      </c>
      <c r="M51" s="255">
        <f t="shared" si="4"/>
        <v>228</v>
      </c>
    </row>
    <row r="52" spans="1:14">
      <c r="C52" s="19" t="s">
        <v>602</v>
      </c>
      <c r="D52" s="226" t="s">
        <v>323</v>
      </c>
      <c r="E52" s="254">
        <v>0.2</v>
      </c>
      <c r="F52" s="255">
        <v>40</v>
      </c>
      <c r="G52" s="255">
        <f>G55*1.5</f>
        <v>3000</v>
      </c>
      <c r="H52" s="256">
        <v>600</v>
      </c>
      <c r="I52" s="19">
        <v>600</v>
      </c>
      <c r="J52" s="86">
        <f t="shared" si="1"/>
        <v>1313.28549948063</v>
      </c>
      <c r="K52" s="19" t="str">
        <f ca="1" t="shared" si="2"/>
        <v>中R</v>
      </c>
      <c r="L52" s="257">
        <f t="shared" si="3"/>
        <v>75</v>
      </c>
      <c r="M52" s="255">
        <f t="shared" si="4"/>
        <v>150</v>
      </c>
    </row>
    <row r="53" spans="1:14">
      <c r="A53" s="19">
        <f>IF(D53=$D$49,4,IF(D53=$D$50,5,6))</f>
        <v>5</v>
      </c>
      <c r="C53" s="19" t="s">
        <v>602</v>
      </c>
      <c r="D53" s="226" t="s">
        <v>326</v>
      </c>
      <c r="E53" s="258">
        <v>0.35</v>
      </c>
      <c r="F53" s="19">
        <v>60</v>
      </c>
      <c r="G53" s="19">
        <f>G56*1.5</f>
        <v>6000</v>
      </c>
      <c r="H53" s="256">
        <v>1800</v>
      </c>
      <c r="I53" s="19">
        <v>3000</v>
      </c>
      <c r="J53" s="86">
        <f t="shared" si="1"/>
        <v>1652.701361643</v>
      </c>
      <c r="K53" s="19" t="str">
        <f ca="1" t="shared" si="2"/>
        <v>中R</v>
      </c>
      <c r="L53" s="86">
        <f t="shared" si="3"/>
        <v>100</v>
      </c>
      <c r="M53" s="19">
        <f t="shared" si="4"/>
        <v>171</v>
      </c>
      <c r="N53" s="80" t="s">
        <v>603</v>
      </c>
    </row>
    <row r="54" spans="1:14">
      <c r="A54" s="19">
        <f>IF(D54=$D$49,4,IF(D54=$D$50,5,6))</f>
        <v>6</v>
      </c>
      <c r="C54" s="19" t="s">
        <v>602</v>
      </c>
      <c r="D54" s="226" t="s">
        <v>334</v>
      </c>
      <c r="E54" s="258">
        <v>0.35</v>
      </c>
      <c r="F54" s="19">
        <v>80</v>
      </c>
      <c r="G54" s="19">
        <f>G57*1.5</f>
        <v>12000</v>
      </c>
      <c r="H54" s="256">
        <v>4200</v>
      </c>
      <c r="I54" s="19">
        <v>6000</v>
      </c>
      <c r="J54" s="86">
        <f t="shared" si="1"/>
        <v>3105.40272328599</v>
      </c>
      <c r="K54" s="19" t="str">
        <f ca="1" t="shared" si="2"/>
        <v>中R</v>
      </c>
      <c r="L54" s="86">
        <f t="shared" si="3"/>
        <v>150</v>
      </c>
      <c r="M54" s="19">
        <f t="shared" si="4"/>
        <v>342</v>
      </c>
    </row>
    <row r="55" spans="1:14">
      <c r="C55" s="19" t="s">
        <v>266</v>
      </c>
      <c r="D55" s="226" t="s">
        <v>323</v>
      </c>
      <c r="E55" s="258">
        <v>0.1</v>
      </c>
      <c r="F55" s="19">
        <v>40</v>
      </c>
      <c r="G55" s="19">
        <v>2000</v>
      </c>
      <c r="H55" s="256">
        <v>400</v>
      </c>
      <c r="I55" s="19">
        <v>500</v>
      </c>
      <c r="J55" s="86">
        <f t="shared" si="1"/>
        <v>1619.75702097552</v>
      </c>
      <c r="K55" s="19" t="str">
        <f ca="1" t="shared" si="2"/>
        <v>中R</v>
      </c>
      <c r="L55" s="86">
        <f t="shared" si="3"/>
        <v>50</v>
      </c>
      <c r="M55" s="19">
        <f t="shared" si="4"/>
        <v>200</v>
      </c>
    </row>
    <row r="56" spans="1:14">
      <c r="A56" s="19">
        <f t="shared" ref="A56:A63" si="5">IF(D56=$D$49,4,IF(D56=$D$50,5,6))</f>
        <v>5</v>
      </c>
      <c r="C56" s="19" t="s">
        <v>266</v>
      </c>
      <c r="D56" s="226" t="s">
        <v>326</v>
      </c>
      <c r="E56" s="258">
        <v>0.15</v>
      </c>
      <c r="F56" s="19">
        <v>60</v>
      </c>
      <c r="G56" s="19">
        <v>4000</v>
      </c>
      <c r="H56" s="256">
        <v>1200</v>
      </c>
      <c r="I56" s="19">
        <v>2000</v>
      </c>
      <c r="J56" s="86">
        <f t="shared" si="1"/>
        <v>2236.39691389523</v>
      </c>
      <c r="K56" s="19" t="str">
        <f ca="1" t="shared" si="2"/>
        <v>中R</v>
      </c>
      <c r="L56" s="86">
        <f t="shared" si="3"/>
        <v>66.6666666666667</v>
      </c>
      <c r="M56" s="19">
        <f t="shared" ref="M56:M66" si="6">IFERROR(INT(G56/E56/100),"")</f>
        <v>266</v>
      </c>
      <c r="N56" s="80" t="s">
        <v>603</v>
      </c>
    </row>
    <row r="57" spans="1:14">
      <c r="A57" s="19">
        <f t="shared" si="5"/>
        <v>6</v>
      </c>
      <c r="C57" s="19" t="s">
        <v>266</v>
      </c>
      <c r="D57" s="226" t="s">
        <v>334</v>
      </c>
      <c r="E57" s="258">
        <v>0.25</v>
      </c>
      <c r="F57" s="19">
        <v>80</v>
      </c>
      <c r="G57" s="19">
        <v>8000</v>
      </c>
      <c r="H57" s="256">
        <v>2800</v>
      </c>
      <c r="I57" s="19">
        <v>4000</v>
      </c>
      <c r="J57" s="86">
        <f t="shared" si="1"/>
        <v>2825.65462726886</v>
      </c>
      <c r="K57" s="19" t="str">
        <f ca="1" t="shared" si="2"/>
        <v>中R</v>
      </c>
      <c r="L57" s="86">
        <f t="shared" si="3"/>
        <v>100</v>
      </c>
      <c r="M57" s="19">
        <f t="shared" si="6"/>
        <v>320</v>
      </c>
    </row>
    <row r="58" spans="1:14">
      <c r="A58" s="19">
        <f t="shared" si="5"/>
        <v>4</v>
      </c>
      <c r="C58" s="19" t="s">
        <v>560</v>
      </c>
      <c r="D58" s="226" t="s">
        <v>323</v>
      </c>
      <c r="E58" s="259">
        <v>0</v>
      </c>
      <c r="F58" s="260">
        <v>25</v>
      </c>
      <c r="G58" s="260">
        <v>2500</v>
      </c>
      <c r="H58" s="256">
        <v>500</v>
      </c>
      <c r="I58" s="19">
        <v>500</v>
      </c>
      <c r="J58" s="86"/>
      <c r="L58" s="86">
        <f>G58/(F58)</f>
        <v>100</v>
      </c>
      <c r="M58" s="19" t="str">
        <f t="shared" si="6"/>
        <v/>
      </c>
    </row>
    <row r="59" spans="1:14">
      <c r="A59" s="19">
        <f t="shared" si="5"/>
        <v>5</v>
      </c>
      <c r="C59" s="19" t="s">
        <v>560</v>
      </c>
      <c r="D59" s="226" t="s">
        <v>326</v>
      </c>
      <c r="E59" s="259">
        <v>0.2</v>
      </c>
      <c r="F59" s="260">
        <v>50</v>
      </c>
      <c r="G59" s="260">
        <v>7000</v>
      </c>
      <c r="H59" s="256">
        <v>2100</v>
      </c>
      <c r="I59" s="19">
        <v>3500</v>
      </c>
      <c r="J59" s="86">
        <f>IFERROR((G59+G62)/LOG(1+E59,1.07)+F59*5,0)</f>
        <v>3218.76133194836</v>
      </c>
      <c r="K59" s="19" t="str">
        <f ca="1">OFFSET($C$41,MATCH(J59,$E$42:$E$45,-1)+1,0)</f>
        <v>中R</v>
      </c>
      <c r="L59" s="86">
        <f>G59/(F59)</f>
        <v>140</v>
      </c>
      <c r="M59" s="19">
        <f t="shared" si="6"/>
        <v>350</v>
      </c>
    </row>
    <row r="60" spans="1:14">
      <c r="A60" s="19">
        <f t="shared" si="5"/>
        <v>6</v>
      </c>
      <c r="C60" s="19" t="s">
        <v>560</v>
      </c>
      <c r="D60" s="226" t="s">
        <v>334</v>
      </c>
      <c r="E60" s="259">
        <v>0.3</v>
      </c>
      <c r="F60" s="260">
        <v>60</v>
      </c>
      <c r="G60" s="260">
        <v>12000</v>
      </c>
      <c r="H60" s="256">
        <v>4200</v>
      </c>
      <c r="I60" s="19">
        <v>6000</v>
      </c>
      <c r="J60" s="86">
        <f>IFERROR((G60+G63+G66)/LOG(1+E60,1.07)+F60*5,0)</f>
        <v>4426.08926668507</v>
      </c>
      <c r="K60" s="19" t="str">
        <f ca="1">OFFSET($C$41,MATCH(J60,$E$42:$E$45,-1)+1,0)</f>
        <v>大R</v>
      </c>
      <c r="L60" s="86">
        <f>G60/(F60)</f>
        <v>200</v>
      </c>
      <c r="M60" s="19">
        <f t="shared" si="6"/>
        <v>400</v>
      </c>
      <c r="N60" s="80" t="s">
        <v>604</v>
      </c>
    </row>
    <row r="61" spans="1:14">
      <c r="A61" s="19">
        <f t="shared" si="5"/>
        <v>4</v>
      </c>
      <c r="C61" s="19" t="s">
        <v>605</v>
      </c>
      <c r="D61" s="226" t="s">
        <v>323</v>
      </c>
      <c r="E61" s="258">
        <v>0</v>
      </c>
      <c r="F61" s="260">
        <v>5</v>
      </c>
      <c r="G61" s="260">
        <v>500</v>
      </c>
      <c r="H61" s="256">
        <v>125</v>
      </c>
      <c r="I61" s="19">
        <v>100</v>
      </c>
      <c r="J61" s="86"/>
      <c r="L61" s="86"/>
      <c r="M61" s="19" t="str">
        <f t="shared" si="6"/>
        <v/>
      </c>
    </row>
    <row r="62" spans="1:14">
      <c r="A62" s="19">
        <f t="shared" si="5"/>
        <v>5</v>
      </c>
      <c r="C62" s="19" t="s">
        <v>605</v>
      </c>
      <c r="D62" s="226" t="s">
        <v>326</v>
      </c>
      <c r="E62" s="258">
        <v>0</v>
      </c>
      <c r="F62" s="260">
        <v>10</v>
      </c>
      <c r="G62" s="260">
        <v>1000</v>
      </c>
      <c r="H62" s="256">
        <v>250</v>
      </c>
      <c r="I62" s="19">
        <v>500</v>
      </c>
      <c r="L62" s="86"/>
      <c r="M62" s="19" t="str">
        <f t="shared" si="6"/>
        <v/>
      </c>
    </row>
    <row r="63" spans="1:14">
      <c r="A63" s="19">
        <f t="shared" si="5"/>
        <v>6</v>
      </c>
      <c r="C63" s="19" t="s">
        <v>605</v>
      </c>
      <c r="D63" s="226" t="s">
        <v>334</v>
      </c>
      <c r="E63" s="258">
        <v>0</v>
      </c>
      <c r="F63" s="260">
        <v>15</v>
      </c>
      <c r="G63" s="260">
        <v>1500</v>
      </c>
      <c r="H63" s="256">
        <v>375</v>
      </c>
      <c r="I63" s="19">
        <v>750</v>
      </c>
      <c r="L63" s="86"/>
      <c r="M63" s="19" t="str">
        <f t="shared" si="6"/>
        <v/>
      </c>
    </row>
    <row r="64" spans="1:14">
      <c r="C64" s="19" t="s">
        <v>606</v>
      </c>
      <c r="D64" s="226" t="s">
        <v>323</v>
      </c>
      <c r="E64" s="258">
        <v>0</v>
      </c>
      <c r="F64" s="260">
        <v>0</v>
      </c>
      <c r="G64" s="260"/>
      <c r="H64" s="256">
        <f>G64/2</f>
        <v>0</v>
      </c>
      <c r="J64" s="86"/>
      <c r="L64" s="86"/>
      <c r="M64" s="19" t="str">
        <f t="shared" si="6"/>
        <v/>
      </c>
    </row>
    <row r="65" spans="2:31">
      <c r="C65" s="19" t="s">
        <v>606</v>
      </c>
      <c r="D65" s="226" t="s">
        <v>326</v>
      </c>
      <c r="E65" s="258">
        <v>0</v>
      </c>
      <c r="F65" s="260">
        <v>0</v>
      </c>
      <c r="G65" s="260"/>
      <c r="H65" s="256">
        <f>G65/2</f>
        <v>0</v>
      </c>
      <c r="L65" s="86"/>
      <c r="M65" s="19" t="str">
        <f t="shared" si="6"/>
        <v/>
      </c>
    </row>
    <row r="66" spans="2:31">
      <c r="C66" s="19" t="s">
        <v>606</v>
      </c>
      <c r="D66" s="226" t="s">
        <v>334</v>
      </c>
      <c r="E66" s="258">
        <v>0</v>
      </c>
      <c r="F66" s="260">
        <v>15</v>
      </c>
      <c r="G66" s="260">
        <v>2500</v>
      </c>
      <c r="H66" s="256">
        <v>625</v>
      </c>
      <c r="I66" s="19">
        <v>1250</v>
      </c>
      <c r="L66" s="86"/>
      <c r="M66" s="19" t="str">
        <f t="shared" si="6"/>
        <v/>
      </c>
    </row>
    <row r="69" spans="2:31">
      <c r="B69" s="18"/>
      <c r="C69" s="17" t="s">
        <v>607</v>
      </c>
    </row>
    <row r="71" spans="2:31">
      <c r="C71" s="19" t="s">
        <v>608</v>
      </c>
      <c r="L71" s="19">
        <f>100*30</f>
        <v>3000</v>
      </c>
    </row>
    <row r="72" spans="2:31">
      <c r="C72" s="19">
        <v>0.5</v>
      </c>
      <c r="H72" s="19">
        <f>5</f>
        <v>5</v>
      </c>
    </row>
    <row r="73" spans="2:31">
      <c r="H73" s="19">
        <f>0.015</f>
        <v>0.015</v>
      </c>
      <c r="I73" s="19">
        <f>H73*200</f>
        <v>3</v>
      </c>
      <c r="J73" s="19">
        <f>I73/6*10</f>
        <v>5</v>
      </c>
      <c r="K73" s="19">
        <f>J73+5</f>
        <v>10</v>
      </c>
    </row>
    <row r="75" spans="2:31">
      <c r="C75" s="19" t="s">
        <v>570</v>
      </c>
      <c r="D75" s="19" t="s">
        <v>571</v>
      </c>
      <c r="E75" s="19" t="s">
        <v>609</v>
      </c>
      <c r="F75" s="19" t="s">
        <v>184</v>
      </c>
      <c r="G75" s="19" t="s">
        <v>388</v>
      </c>
      <c r="H75" s="19" t="s">
        <v>610</v>
      </c>
      <c r="J75" s="19" t="s">
        <v>611</v>
      </c>
      <c r="L75" s="19" t="s">
        <v>179</v>
      </c>
      <c r="M75" s="19" t="s">
        <v>294</v>
      </c>
    </row>
    <row r="76" spans="2:31">
      <c r="C76" s="19">
        <v>1</v>
      </c>
      <c r="G76" s="19">
        <v>5</v>
      </c>
      <c r="H76" s="251">
        <f>10/30</f>
        <v>0.333333333333333</v>
      </c>
      <c r="I76" s="19">
        <v>60</v>
      </c>
      <c r="J76" s="19">
        <v>1</v>
      </c>
      <c r="K76" s="19" t="s">
        <v>612</v>
      </c>
      <c r="L76" s="19">
        <v>600</v>
      </c>
      <c r="M76" s="261">
        <v>0.005</v>
      </c>
    </row>
    <row r="77" spans="2:31">
      <c r="C77" s="19">
        <v>2</v>
      </c>
      <c r="D77" s="249">
        <v>1.15</v>
      </c>
      <c r="E77" s="249">
        <v>0.05</v>
      </c>
      <c r="F77" s="19" t="s">
        <v>323</v>
      </c>
      <c r="G77" s="19">
        <v>10</v>
      </c>
      <c r="H77" s="251">
        <f>H76*I76/I77</f>
        <v>0.2</v>
      </c>
      <c r="I77" s="19">
        <v>100</v>
      </c>
      <c r="J77" s="19">
        <v>1</v>
      </c>
    </row>
    <row r="78" spans="2:31">
      <c r="C78" s="19">
        <v>3</v>
      </c>
      <c r="D78" s="249">
        <v>1.3</v>
      </c>
      <c r="E78" s="249">
        <v>0.06</v>
      </c>
      <c r="F78" s="19" t="s">
        <v>326</v>
      </c>
      <c r="G78" s="19">
        <v>15</v>
      </c>
      <c r="H78" s="251">
        <f>H77*I78/I77/J78</f>
        <v>0.2</v>
      </c>
      <c r="I78" s="19">
        <v>150</v>
      </c>
      <c r="J78" s="19">
        <v>1.5</v>
      </c>
      <c r="K78" s="19" t="s">
        <v>356</v>
      </c>
      <c r="L78" s="19" t="s">
        <v>613</v>
      </c>
    </row>
    <row r="79" spans="2:31">
      <c r="C79" s="19">
        <v>4</v>
      </c>
      <c r="D79" s="249">
        <v>1.65</v>
      </c>
      <c r="E79" s="249">
        <v>0.1</v>
      </c>
      <c r="F79" s="19" t="s">
        <v>614</v>
      </c>
      <c r="G79" s="19">
        <v>20</v>
      </c>
      <c r="H79" s="251">
        <f>H78*J79/(I79/I78)</f>
        <v>0.199999999999999</v>
      </c>
      <c r="I79" s="19">
        <v>200</v>
      </c>
      <c r="J79" s="19">
        <f>1/0.75</f>
        <v>1.33333333333333</v>
      </c>
      <c r="K79" s="19" t="s">
        <v>416</v>
      </c>
      <c r="L79" s="250">
        <v>100</v>
      </c>
      <c r="AE79" s="19">
        <v>0.1</v>
      </c>
    </row>
    <row r="80" spans="2:31">
      <c r="C80" s="19">
        <v>5</v>
      </c>
      <c r="D80" s="226">
        <f t="shared" ref="D80:D95" si="7">D79*2</f>
        <v>3.3</v>
      </c>
      <c r="E80" s="226">
        <v>0.1</v>
      </c>
      <c r="F80" s="19" t="s">
        <v>615</v>
      </c>
      <c r="G80" s="19">
        <v>25</v>
      </c>
      <c r="H80" s="251">
        <f>H79/(I80/I79)</f>
        <v>0.133333333333333</v>
      </c>
      <c r="I80" s="19">
        <v>300</v>
      </c>
      <c r="J80" s="19">
        <v>1</v>
      </c>
      <c r="K80" s="19" t="s">
        <v>417</v>
      </c>
      <c r="L80" s="19">
        <v>100</v>
      </c>
      <c r="AD80" s="19">
        <v>1</v>
      </c>
      <c r="AE80" s="19">
        <f>100%</f>
        <v>1</v>
      </c>
    </row>
    <row r="81" spans="3:33">
      <c r="C81" s="19">
        <v>6</v>
      </c>
      <c r="D81" s="226">
        <f t="shared" si="7"/>
        <v>6.6</v>
      </c>
      <c r="E81" s="226">
        <v>0.1</v>
      </c>
      <c r="F81" s="19" t="s">
        <v>616</v>
      </c>
      <c r="G81" s="19">
        <v>30</v>
      </c>
      <c r="H81" s="251">
        <f>H80/(I81/I80)</f>
        <v>0.0999999999999996</v>
      </c>
      <c r="I81" s="19">
        <v>400</v>
      </c>
      <c r="J81" s="19">
        <v>1</v>
      </c>
      <c r="K81" s="19" t="s">
        <v>262</v>
      </c>
      <c r="L81" s="19">
        <v>150</v>
      </c>
      <c r="AD81" s="19">
        <v>2</v>
      </c>
      <c r="AE81" s="19">
        <f>AE80+$AE$79</f>
        <v>1.1</v>
      </c>
      <c r="AF81" s="19">
        <f>AE81/AE80</f>
        <v>1.1</v>
      </c>
      <c r="AG81" s="19">
        <f>LOG(AF81,1.07)</f>
        <v>1.40869174827238</v>
      </c>
    </row>
    <row r="82" spans="3:33">
      <c r="C82" s="19">
        <v>7</v>
      </c>
      <c r="D82" s="226">
        <f t="shared" si="7"/>
        <v>13.2</v>
      </c>
      <c r="E82" s="226">
        <v>0.1</v>
      </c>
      <c r="F82" s="19" t="s">
        <v>617</v>
      </c>
      <c r="G82" s="19">
        <v>35</v>
      </c>
      <c r="H82" s="251">
        <f>H81/(I82/I81)</f>
        <v>0.0799999999999997</v>
      </c>
      <c r="I82" s="19">
        <v>500</v>
      </c>
      <c r="J82" s="19">
        <v>1</v>
      </c>
      <c r="K82" s="19" t="s">
        <v>239</v>
      </c>
      <c r="L82" s="19">
        <v>200</v>
      </c>
      <c r="AD82" s="19">
        <v>3</v>
      </c>
      <c r="AE82" s="19">
        <f>AE81+$AE$79</f>
        <v>1.2</v>
      </c>
      <c r="AF82" s="19">
        <f>AE82/AE81</f>
        <v>1.09090909090909</v>
      </c>
      <c r="AG82" s="19">
        <f>LOG(AF82,1.07)</f>
        <v>1.2860348078532</v>
      </c>
    </row>
    <row r="83" spans="3:33">
      <c r="C83" s="19">
        <v>8</v>
      </c>
      <c r="D83" s="226">
        <f t="shared" si="7"/>
        <v>26.4</v>
      </c>
      <c r="E83" s="226">
        <v>0.1</v>
      </c>
      <c r="F83" s="19" t="s">
        <v>618</v>
      </c>
      <c r="G83" s="19">
        <v>40</v>
      </c>
      <c r="H83" s="251">
        <f>H82/(I83/I82)</f>
        <v>0.0666666666666664</v>
      </c>
      <c r="I83" s="19">
        <v>600</v>
      </c>
      <c r="J83" s="19">
        <v>1</v>
      </c>
      <c r="AD83" s="19">
        <v>4</v>
      </c>
      <c r="AE83" s="19">
        <f>AE82+$AE$79</f>
        <v>1.3</v>
      </c>
      <c r="AF83" s="19">
        <f>AE83/AE82</f>
        <v>1.08333333333333</v>
      </c>
      <c r="AG83" s="19">
        <f>LOG(AF83,1.07)</f>
        <v>1.18303734229209</v>
      </c>
    </row>
    <row r="84" spans="3:33">
      <c r="C84" s="19">
        <v>9</v>
      </c>
      <c r="D84" s="226">
        <f t="shared" si="7"/>
        <v>52.8</v>
      </c>
      <c r="E84" s="226">
        <v>0.1</v>
      </c>
      <c r="F84" s="19" t="s">
        <v>619</v>
      </c>
      <c r="G84" s="19">
        <v>45</v>
      </c>
      <c r="H84" s="251">
        <f>H83/(I84/I83)</f>
        <v>0.0571428571428569</v>
      </c>
      <c r="I84" s="19">
        <v>700</v>
      </c>
      <c r="J84" s="19">
        <v>1</v>
      </c>
      <c r="AD84" s="19">
        <v>5</v>
      </c>
      <c r="AE84" s="19">
        <f>AE83+$AE$79</f>
        <v>1.4</v>
      </c>
      <c r="AF84" s="19">
        <f>AE84/AE83</f>
        <v>1.07692307692308</v>
      </c>
      <c r="AG84" s="19">
        <f>LOG(AF84,1.07)</f>
        <v>1.09532149733087</v>
      </c>
    </row>
    <row r="85" spans="3:33">
      <c r="C85" s="19">
        <v>10</v>
      </c>
      <c r="D85" s="226">
        <f t="shared" si="7"/>
        <v>105.6</v>
      </c>
      <c r="E85" s="226">
        <v>0.1</v>
      </c>
      <c r="F85" s="19" t="s">
        <v>620</v>
      </c>
      <c r="AD85" s="19">
        <v>6</v>
      </c>
      <c r="AE85" s="19">
        <f>AE84+$AE$79</f>
        <v>1.5</v>
      </c>
      <c r="AF85" s="19">
        <f>AE85/AE84</f>
        <v>1.07142857142857</v>
      </c>
      <c r="AG85" s="19">
        <f>LOG(AF85,1.07)</f>
        <v>1.01971991819572</v>
      </c>
    </row>
    <row r="86" spans="3:33">
      <c r="C86" s="19">
        <v>11</v>
      </c>
      <c r="D86" s="226">
        <f t="shared" si="7"/>
        <v>211.2</v>
      </c>
      <c r="E86" s="226">
        <v>0.1</v>
      </c>
      <c r="F86" s="19" t="s">
        <v>621</v>
      </c>
    </row>
    <row r="87" spans="3:33">
      <c r="C87" s="19">
        <v>12</v>
      </c>
      <c r="D87" s="226">
        <f t="shared" si="7"/>
        <v>422.4</v>
      </c>
      <c r="E87" s="226">
        <v>0.1</v>
      </c>
      <c r="F87" s="19" t="s">
        <v>622</v>
      </c>
      <c r="P87" s="19">
        <v>2</v>
      </c>
      <c r="Q87" s="19">
        <v>3</v>
      </c>
      <c r="R87" s="19">
        <v>4</v>
      </c>
      <c r="S87" s="19">
        <v>5</v>
      </c>
      <c r="T87" s="19">
        <v>6</v>
      </c>
    </row>
    <row r="88" spans="3:33">
      <c r="C88" s="19">
        <v>13</v>
      </c>
      <c r="D88" s="226">
        <f t="shared" si="7"/>
        <v>844.8</v>
      </c>
      <c r="E88" s="226">
        <v>0.1</v>
      </c>
      <c r="F88" s="19" t="s">
        <v>623</v>
      </c>
      <c r="P88" s="19">
        <v>0.3</v>
      </c>
    </row>
    <row r="89" spans="3:33">
      <c r="C89" s="19">
        <v>14</v>
      </c>
      <c r="D89" s="226">
        <f t="shared" si="7"/>
        <v>1689.6</v>
      </c>
      <c r="E89" s="226">
        <v>0.1</v>
      </c>
      <c r="F89" s="19" t="s">
        <v>624</v>
      </c>
      <c r="P89" s="19">
        <v>0.3</v>
      </c>
    </row>
    <row r="90" spans="3:33">
      <c r="C90" s="19">
        <v>15</v>
      </c>
      <c r="D90" s="226">
        <f t="shared" si="7"/>
        <v>3379.2</v>
      </c>
      <c r="E90" s="226">
        <v>0.1</v>
      </c>
      <c r="F90" s="19" t="s">
        <v>625</v>
      </c>
      <c r="P90" s="19">
        <v>0.25</v>
      </c>
      <c r="Q90" s="19">
        <v>0.1</v>
      </c>
      <c r="R90" s="19">
        <v>0.03</v>
      </c>
    </row>
    <row r="91" spans="3:33">
      <c r="C91" s="19">
        <v>16</v>
      </c>
      <c r="D91" s="226">
        <f t="shared" si="7"/>
        <v>6758.4</v>
      </c>
      <c r="E91" s="226">
        <v>0.1</v>
      </c>
      <c r="F91" s="19" t="s">
        <v>626</v>
      </c>
      <c r="P91" s="19">
        <v>0.25</v>
      </c>
      <c r="Q91" s="19">
        <v>0.1</v>
      </c>
      <c r="R91" s="19">
        <v>0.03</v>
      </c>
      <c r="S91" s="19">
        <v>0.0075</v>
      </c>
      <c r="T91" s="19">
        <v>0.002</v>
      </c>
    </row>
    <row r="92" spans="3:33">
      <c r="C92" s="19">
        <v>17</v>
      </c>
      <c r="D92" s="226">
        <f t="shared" si="7"/>
        <v>13516.8</v>
      </c>
      <c r="E92" s="226">
        <v>0.1</v>
      </c>
      <c r="F92" s="19" t="s">
        <v>627</v>
      </c>
      <c r="P92" s="19">
        <v>0.25</v>
      </c>
      <c r="Q92" s="19">
        <v>0.1</v>
      </c>
      <c r="R92" s="19">
        <v>0.03</v>
      </c>
      <c r="S92" s="19">
        <f>0.0075</f>
        <v>0.0075</v>
      </c>
      <c r="T92" s="19">
        <v>0.002</v>
      </c>
    </row>
    <row r="93" spans="3:33">
      <c r="C93" s="19">
        <v>18</v>
      </c>
      <c r="D93" s="226">
        <f t="shared" si="7"/>
        <v>27033.6</v>
      </c>
      <c r="E93" s="226">
        <v>0.1</v>
      </c>
      <c r="F93" s="19" t="s">
        <v>628</v>
      </c>
      <c r="P93" s="19">
        <v>0.25</v>
      </c>
      <c r="Q93" s="19">
        <v>0.1</v>
      </c>
      <c r="R93" s="19">
        <v>0.03</v>
      </c>
      <c r="S93" s="19">
        <v>0.0075</v>
      </c>
      <c r="T93" s="19">
        <v>0.002</v>
      </c>
    </row>
    <row r="94" spans="3:33">
      <c r="C94" s="19">
        <v>19</v>
      </c>
      <c r="D94" s="226">
        <f t="shared" si="7"/>
        <v>54067.2</v>
      </c>
      <c r="E94" s="226">
        <v>0.1</v>
      </c>
      <c r="F94" s="19" t="s">
        <v>629</v>
      </c>
      <c r="P94" s="19">
        <v>0.25</v>
      </c>
      <c r="Q94" s="19">
        <v>0.1</v>
      </c>
      <c r="R94" s="19">
        <v>0.03</v>
      </c>
      <c r="S94" s="19">
        <v>0.0075</v>
      </c>
      <c r="T94" s="19">
        <v>0.002</v>
      </c>
    </row>
    <row r="95" spans="3:33">
      <c r="C95" s="19">
        <v>20</v>
      </c>
      <c r="D95" s="226">
        <f t="shared" si="7"/>
        <v>108134.4</v>
      </c>
      <c r="E95" s="226">
        <v>0.1</v>
      </c>
      <c r="F95" s="19" t="s">
        <v>630</v>
      </c>
    </row>
    <row r="96" spans="3:33">
      <c r="AD96" s="19">
        <v>7</v>
      </c>
      <c r="AE96" s="19">
        <f>AE85+$AE$79</f>
        <v>1.6</v>
      </c>
      <c r="AF96" s="19">
        <f>AE96/AE85</f>
        <v>1.06666666666667</v>
      </c>
      <c r="AG96" s="19">
        <f t="shared" ref="AG96:AG119" si="8">LOG(AF96,1.07)</f>
        <v>0.953884279295776</v>
      </c>
    </row>
    <row r="97" spans="2:33">
      <c r="B97" s="18"/>
      <c r="C97" s="17" t="s">
        <v>578</v>
      </c>
      <c r="AD97" s="19">
        <v>8</v>
      </c>
      <c r="AE97" s="19">
        <f t="shared" ref="AE97:AE119" si="9">AE96+$AE$79</f>
        <v>1.7</v>
      </c>
      <c r="AF97" s="19">
        <f t="shared" ref="AF97:AF119" si="10">AE97/AE96</f>
        <v>1.0625</v>
      </c>
      <c r="AG97" s="19">
        <f t="shared" si="8"/>
        <v>0.89603654793515</v>
      </c>
    </row>
    <row r="98" spans="2:33">
      <c r="B98" s="17"/>
      <c r="C98" s="17"/>
      <c r="D98" s="262" t="s">
        <v>631</v>
      </c>
      <c r="AD98" s="19">
        <v>9</v>
      </c>
      <c r="AE98" s="19">
        <f t="shared" si="9"/>
        <v>1.8</v>
      </c>
      <c r="AF98" s="19">
        <f t="shared" si="10"/>
        <v>1.05882352941176</v>
      </c>
      <c r="AG98" s="19">
        <f t="shared" si="8"/>
        <v>0.844805728894658</v>
      </c>
    </row>
    <row r="99" spans="2:33">
      <c r="B99" s="17"/>
      <c r="C99" s="17"/>
      <c r="G99" s="19">
        <v>1</v>
      </c>
      <c r="H99" s="19">
        <v>2</v>
      </c>
      <c r="I99" s="19">
        <v>4</v>
      </c>
      <c r="Q99" s="19">
        <v>1</v>
      </c>
      <c r="R99" s="226">
        <v>0.05</v>
      </c>
      <c r="S99" s="19">
        <v>30</v>
      </c>
      <c r="T99" s="19">
        <f>M116</f>
        <v>256</v>
      </c>
      <c r="AD99" s="19">
        <v>10</v>
      </c>
      <c r="AE99" s="19">
        <f t="shared" si="9"/>
        <v>1.9</v>
      </c>
      <c r="AF99" s="19">
        <f t="shared" si="10"/>
        <v>1.05555555555556</v>
      </c>
      <c r="AG99" s="19">
        <f t="shared" si="8"/>
        <v>0.799117666253721</v>
      </c>
    </row>
    <row r="100" spans="2:33">
      <c r="D100" s="19" t="s">
        <v>632</v>
      </c>
      <c r="G100" s="19" t="s">
        <v>633</v>
      </c>
      <c r="L100" s="225" t="s">
        <v>633</v>
      </c>
      <c r="M100" s="225"/>
      <c r="N100" s="225"/>
      <c r="O100" s="225"/>
      <c r="Q100" s="19">
        <v>2</v>
      </c>
      <c r="R100" s="226">
        <v>0.075</v>
      </c>
      <c r="S100" s="19">
        <v>30</v>
      </c>
      <c r="T100" s="19">
        <f>M116</f>
        <v>256</v>
      </c>
      <c r="AD100" s="19">
        <v>11</v>
      </c>
      <c r="AE100" s="19">
        <f t="shared" si="9"/>
        <v>2</v>
      </c>
      <c r="AF100" s="19">
        <f t="shared" si="10"/>
        <v>1.05263157894737</v>
      </c>
      <c r="AG100" s="19">
        <f t="shared" si="8"/>
        <v>0.758118814735147</v>
      </c>
    </row>
    <row r="101" spans="2:33">
      <c r="C101" s="19" t="s">
        <v>634</v>
      </c>
      <c r="D101" s="19" t="s">
        <v>326</v>
      </c>
      <c r="E101" s="19" t="s">
        <v>334</v>
      </c>
      <c r="F101" s="19" t="s">
        <v>340</v>
      </c>
      <c r="G101" s="19" t="s">
        <v>326</v>
      </c>
      <c r="H101" s="19" t="s">
        <v>334</v>
      </c>
      <c r="I101" s="19" t="s">
        <v>340</v>
      </c>
      <c r="L101" s="225" t="s">
        <v>326</v>
      </c>
      <c r="M101" s="225" t="s">
        <v>334</v>
      </c>
      <c r="N101" s="225" t="s">
        <v>340</v>
      </c>
      <c r="O101" s="225"/>
      <c r="Q101" s="19">
        <v>3</v>
      </c>
      <c r="R101" s="226">
        <v>0.1</v>
      </c>
      <c r="S101" s="19">
        <v>30</v>
      </c>
      <c r="T101" s="19">
        <f>G102*2</f>
        <v>7200</v>
      </c>
      <c r="AD101" s="19">
        <v>12</v>
      </c>
      <c r="AE101" s="19">
        <f t="shared" si="9"/>
        <v>2.1</v>
      </c>
      <c r="AF101" s="19">
        <f t="shared" si="10"/>
        <v>1.05</v>
      </c>
      <c r="AG101" s="19">
        <f t="shared" si="8"/>
        <v>0.721122358634088</v>
      </c>
    </row>
    <row r="102" spans="2:33">
      <c r="C102" s="19">
        <v>3</v>
      </c>
      <c r="D102" s="226">
        <v>0.1</v>
      </c>
      <c r="E102" s="226">
        <v>0.125</v>
      </c>
      <c r="F102" s="226">
        <v>0.16</v>
      </c>
      <c r="G102" s="19">
        <v>3600</v>
      </c>
      <c r="H102" s="19">
        <f>G102*2</f>
        <v>7200</v>
      </c>
      <c r="I102" s="19">
        <f>H102*2</f>
        <v>14400</v>
      </c>
      <c r="L102" s="225">
        <v>5000</v>
      </c>
      <c r="M102" s="225">
        <f t="shared" ref="M102:N105" si="11">L102*2</f>
        <v>10000</v>
      </c>
      <c r="N102" s="225">
        <f t="shared" si="11"/>
        <v>20000</v>
      </c>
      <c r="O102" s="225"/>
      <c r="Q102" s="19">
        <v>4</v>
      </c>
      <c r="R102" s="226">
        <v>0.25</v>
      </c>
      <c r="S102" s="19">
        <v>30</v>
      </c>
      <c r="T102" s="19">
        <f>G103*2</f>
        <v>25000</v>
      </c>
      <c r="AD102" s="19">
        <v>13</v>
      </c>
      <c r="AE102" s="19">
        <f t="shared" si="9"/>
        <v>2.2</v>
      </c>
      <c r="AF102" s="19">
        <f t="shared" si="10"/>
        <v>1.04761904761905</v>
      </c>
      <c r="AG102" s="19">
        <f t="shared" si="8"/>
        <v>0.687569389638296</v>
      </c>
    </row>
    <row r="103" spans="2:33">
      <c r="C103" s="19">
        <v>4</v>
      </c>
      <c r="D103" s="226">
        <v>0.25</v>
      </c>
      <c r="E103" s="226">
        <v>0.32</v>
      </c>
      <c r="F103" s="226">
        <v>0.4</v>
      </c>
      <c r="G103" s="19">
        <v>12500</v>
      </c>
      <c r="H103" s="19">
        <f>G103*2</f>
        <v>25000</v>
      </c>
      <c r="I103" s="19">
        <f>H103*2</f>
        <v>50000</v>
      </c>
      <c r="L103" s="225">
        <v>12000</v>
      </c>
      <c r="M103" s="225">
        <f t="shared" si="11"/>
        <v>24000</v>
      </c>
      <c r="N103" s="225">
        <f t="shared" si="11"/>
        <v>48000</v>
      </c>
      <c r="O103" s="225"/>
      <c r="Q103" s="19">
        <v>5</v>
      </c>
      <c r="R103" s="226">
        <v>0.32</v>
      </c>
      <c r="S103" s="19">
        <v>30</v>
      </c>
      <c r="T103" s="19">
        <f>G104*2</f>
        <v>100000</v>
      </c>
      <c r="AD103" s="19">
        <v>14</v>
      </c>
      <c r="AE103" s="19">
        <f t="shared" si="9"/>
        <v>2.3</v>
      </c>
      <c r="AF103" s="19">
        <f t="shared" si="10"/>
        <v>1.04545454545455</v>
      </c>
      <c r="AG103" s="19">
        <f t="shared" si="8"/>
        <v>0.657000451140218</v>
      </c>
    </row>
    <row r="104" spans="2:33">
      <c r="C104" s="19">
        <v>5</v>
      </c>
      <c r="D104" s="226">
        <v>0.32</v>
      </c>
      <c r="E104" s="226">
        <v>0.4</v>
      </c>
      <c r="F104" s="226">
        <v>0.5</v>
      </c>
      <c r="G104" s="19">
        <v>50000</v>
      </c>
      <c r="H104" s="19">
        <v>100000</v>
      </c>
      <c r="I104" s="19">
        <f>H104*2</f>
        <v>200000</v>
      </c>
      <c r="L104" s="225">
        <v>25000</v>
      </c>
      <c r="M104" s="225">
        <f t="shared" si="11"/>
        <v>50000</v>
      </c>
      <c r="N104" s="225">
        <f t="shared" si="11"/>
        <v>100000</v>
      </c>
      <c r="O104" s="225"/>
      <c r="Q104" s="19">
        <v>6</v>
      </c>
      <c r="R104" s="226">
        <v>0.2</v>
      </c>
      <c r="S104" s="19">
        <v>30</v>
      </c>
      <c r="T104" s="19">
        <f>G105*2</f>
        <v>400000</v>
      </c>
      <c r="AD104" s="19">
        <v>15</v>
      </c>
      <c r="AE104" s="19">
        <f t="shared" si="9"/>
        <v>2.4</v>
      </c>
      <c r="AF104" s="19">
        <f t="shared" si="10"/>
        <v>1.04347826086957</v>
      </c>
      <c r="AG104" s="19">
        <f t="shared" si="8"/>
        <v>0.629034356712982</v>
      </c>
    </row>
    <row r="105" spans="2:33">
      <c r="C105" s="19">
        <v>6</v>
      </c>
      <c r="D105" s="226">
        <v>0.2</v>
      </c>
      <c r="E105" s="226">
        <v>0.25</v>
      </c>
      <c r="F105" s="226">
        <v>0.32</v>
      </c>
      <c r="G105" s="19">
        <f>G104*4</f>
        <v>200000</v>
      </c>
      <c r="H105" s="19">
        <f>G105*2</f>
        <v>400000</v>
      </c>
      <c r="I105" s="19">
        <f>H105*2</f>
        <v>800000</v>
      </c>
      <c r="L105" s="225">
        <v>50000</v>
      </c>
      <c r="M105" s="225">
        <f t="shared" si="11"/>
        <v>100000</v>
      </c>
      <c r="N105" s="225">
        <f t="shared" si="11"/>
        <v>200000</v>
      </c>
      <c r="O105" s="225"/>
      <c r="AD105" s="19">
        <v>16</v>
      </c>
      <c r="AE105" s="19">
        <f t="shared" si="9"/>
        <v>2.5</v>
      </c>
      <c r="AF105" s="19">
        <f t="shared" si="10"/>
        <v>1.04166666666667</v>
      </c>
      <c r="AG105" s="19">
        <f t="shared" si="8"/>
        <v>0.603352201693093</v>
      </c>
    </row>
    <row r="106" spans="2:33">
      <c r="D106" s="226"/>
      <c r="E106" s="226"/>
      <c r="F106" s="226"/>
      <c r="AD106" s="19">
        <v>17</v>
      </c>
      <c r="AE106" s="19">
        <f t="shared" si="9"/>
        <v>2.6</v>
      </c>
      <c r="AF106" s="19">
        <f t="shared" si="10"/>
        <v>1.04</v>
      </c>
      <c r="AG106" s="19">
        <f t="shared" si="8"/>
        <v>0.579685140598995</v>
      </c>
    </row>
    <row r="107" spans="2:33">
      <c r="C107" s="263" t="s">
        <v>634</v>
      </c>
      <c r="D107" s="264" t="s">
        <v>326</v>
      </c>
      <c r="E107" s="264" t="s">
        <v>334</v>
      </c>
      <c r="F107" s="265" t="s">
        <v>340</v>
      </c>
      <c r="G107" s="19" t="s">
        <v>635</v>
      </c>
      <c r="AD107" s="19">
        <v>18</v>
      </c>
      <c r="AE107" s="19">
        <f t="shared" si="9"/>
        <v>2.7</v>
      </c>
      <c r="AF107" s="19">
        <f t="shared" si="10"/>
        <v>1.03846153846154</v>
      </c>
      <c r="AG107" s="19">
        <f t="shared" si="8"/>
        <v>0.557804934537723</v>
      </c>
    </row>
    <row r="108" spans="2:33">
      <c r="C108" s="19">
        <v>3</v>
      </c>
      <c r="D108" s="266">
        <f t="shared" ref="D108:F111" si="12">G102/LOG(1+D102,$D$39)</f>
        <v>2555.56263775594</v>
      </c>
      <c r="E108" s="267">
        <f t="shared" si="12"/>
        <v>4135.92896716163</v>
      </c>
      <c r="F108" s="268">
        <f t="shared" si="12"/>
        <v>6564.37477715045</v>
      </c>
      <c r="H108" s="269"/>
      <c r="AD108" s="19">
        <v>19</v>
      </c>
      <c r="AE108" s="19">
        <f t="shared" si="9"/>
        <v>2.8</v>
      </c>
      <c r="AF108" s="19">
        <f t="shared" si="10"/>
        <v>1.03703703703704</v>
      </c>
      <c r="AG108" s="19">
        <f t="shared" si="8"/>
        <v>0.537516562793147</v>
      </c>
    </row>
    <row r="109" spans="2:33">
      <c r="C109" s="19">
        <v>4</v>
      </c>
      <c r="D109" s="267">
        <f t="shared" si="12"/>
        <v>3790.08535510759</v>
      </c>
      <c r="E109" s="268">
        <f t="shared" si="12"/>
        <v>6092.48147409331</v>
      </c>
      <c r="F109" s="267">
        <f t="shared" si="12"/>
        <v>10054.1205350595</v>
      </c>
      <c r="G109" s="19">
        <v>6</v>
      </c>
      <c r="AD109" s="248">
        <v>20</v>
      </c>
      <c r="AE109" s="248">
        <f t="shared" si="9"/>
        <v>2.9</v>
      </c>
      <c r="AF109" s="248">
        <f t="shared" si="10"/>
        <v>1.03571428571429</v>
      </c>
      <c r="AG109" s="248">
        <f t="shared" si="8"/>
        <v>0.518652391125595</v>
      </c>
    </row>
    <row r="110" spans="2:33">
      <c r="C110" s="19">
        <v>5</v>
      </c>
      <c r="D110" s="268">
        <f t="shared" si="12"/>
        <v>12184.9629481866</v>
      </c>
      <c r="E110" s="267">
        <f t="shared" si="12"/>
        <v>20108.241070119</v>
      </c>
      <c r="F110" s="266">
        <f t="shared" si="12"/>
        <v>33373.3517981359</v>
      </c>
      <c r="G110" s="19">
        <v>6</v>
      </c>
      <c r="W110" s="19" t="s">
        <v>319</v>
      </c>
      <c r="X110" s="226">
        <v>0.15</v>
      </c>
      <c r="Y110" s="19">
        <f>X111-X110</f>
        <v>0.05</v>
      </c>
      <c r="AD110" s="19">
        <v>21</v>
      </c>
      <c r="AE110" s="19">
        <f t="shared" si="9"/>
        <v>3</v>
      </c>
      <c r="AF110" s="19">
        <f t="shared" si="10"/>
        <v>1.03448275862069</v>
      </c>
      <c r="AG110" s="19">
        <f t="shared" si="8"/>
        <v>0.501067527070127</v>
      </c>
    </row>
    <row r="111" spans="2:33">
      <c r="C111" s="19">
        <v>6</v>
      </c>
      <c r="D111" s="266">
        <f t="shared" si="12"/>
        <v>74219.033298709</v>
      </c>
      <c r="E111" s="266">
        <f t="shared" si="12"/>
        <v>121282.731363443</v>
      </c>
      <c r="F111" s="266">
        <f t="shared" si="12"/>
        <v>194959.407170986</v>
      </c>
      <c r="G111" s="19">
        <v>12</v>
      </c>
      <c r="L111" s="19" t="s">
        <v>305</v>
      </c>
      <c r="M111" s="19" t="s">
        <v>636</v>
      </c>
      <c r="N111" s="19" t="s">
        <v>637</v>
      </c>
      <c r="S111" s="19" t="s">
        <v>638</v>
      </c>
      <c r="T111" s="19">
        <v>1</v>
      </c>
      <c r="W111" s="19" t="s">
        <v>320</v>
      </c>
      <c r="X111" s="226">
        <v>0.2</v>
      </c>
      <c r="Y111" s="19">
        <f>X112-X111</f>
        <v>0.05</v>
      </c>
      <c r="AD111" s="19">
        <v>22</v>
      </c>
      <c r="AE111" s="19">
        <f t="shared" si="9"/>
        <v>3.1</v>
      </c>
      <c r="AF111" s="19">
        <f t="shared" si="10"/>
        <v>1.03333333333333</v>
      </c>
      <c r="AG111" s="19">
        <f t="shared" si="8"/>
        <v>0.48463608958552</v>
      </c>
    </row>
    <row r="112" spans="2:33">
      <c r="L112" s="19" t="s">
        <v>389</v>
      </c>
      <c r="M112" s="19">
        <v>1</v>
      </c>
      <c r="N112" s="19">
        <f t="shared" ref="N112:N118" si="13">M112*16</f>
        <v>16</v>
      </c>
      <c r="O112" s="19">
        <v>1</v>
      </c>
      <c r="S112" s="19" t="s">
        <v>389</v>
      </c>
      <c r="T112" s="19">
        <v>0.7</v>
      </c>
      <c r="W112" s="19" t="s">
        <v>323</v>
      </c>
      <c r="X112" s="226">
        <v>0.25</v>
      </c>
      <c r="Y112" s="19">
        <f>X113-X112</f>
        <v>0.07</v>
      </c>
      <c r="AD112" s="19">
        <v>23</v>
      </c>
      <c r="AE112" s="19">
        <f t="shared" si="9"/>
        <v>3.2</v>
      </c>
      <c r="AF112" s="19">
        <f t="shared" si="10"/>
        <v>1.03225806451613</v>
      </c>
      <c r="AG112" s="19">
        <f t="shared" si="8"/>
        <v>0.469248189710257</v>
      </c>
    </row>
    <row r="113" spans="1:47">
      <c r="H113" s="19" t="s">
        <v>639</v>
      </c>
      <c r="L113" s="19" t="s">
        <v>319</v>
      </c>
      <c r="M113" s="19">
        <f t="shared" ref="M113:M118" si="14">M112*4</f>
        <v>4</v>
      </c>
      <c r="N113" s="19">
        <f t="shared" si="13"/>
        <v>64</v>
      </c>
      <c r="O113" s="19">
        <v>6</v>
      </c>
      <c r="S113" s="19" t="s">
        <v>319</v>
      </c>
      <c r="T113" s="19">
        <v>0.7</v>
      </c>
      <c r="W113" s="19" t="s">
        <v>326</v>
      </c>
      <c r="X113" s="226">
        <v>0.32</v>
      </c>
      <c r="Y113" s="19">
        <f>X114-X113</f>
        <v>0.08</v>
      </c>
      <c r="AD113" s="19">
        <v>24</v>
      </c>
      <c r="AE113" s="19">
        <f t="shared" si="9"/>
        <v>3.3</v>
      </c>
      <c r="AF113" s="19">
        <f t="shared" si="10"/>
        <v>1.03125</v>
      </c>
      <c r="AG113" s="19">
        <f t="shared" si="8"/>
        <v>0.454807468976607</v>
      </c>
    </row>
    <row r="114" spans="1:47">
      <c r="C114" s="19" t="s">
        <v>640</v>
      </c>
      <c r="D114" s="19" t="s">
        <v>641</v>
      </c>
      <c r="E114" s="19" t="s">
        <v>642</v>
      </c>
      <c r="F114" s="19" t="s">
        <v>643</v>
      </c>
      <c r="G114" s="19" t="s">
        <v>644</v>
      </c>
      <c r="L114" s="19" t="s">
        <v>320</v>
      </c>
      <c r="M114" s="19">
        <f t="shared" si="14"/>
        <v>16</v>
      </c>
      <c r="N114" s="19">
        <f t="shared" si="13"/>
        <v>256</v>
      </c>
      <c r="O114" s="19">
        <v>26</v>
      </c>
      <c r="S114" s="19" t="s">
        <v>320</v>
      </c>
      <c r="T114" s="19">
        <v>0.62</v>
      </c>
      <c r="W114" s="19" t="s">
        <v>334</v>
      </c>
      <c r="X114" s="226">
        <v>0.4</v>
      </c>
      <c r="Y114" s="19">
        <f>X115-X114</f>
        <v>0.1</v>
      </c>
      <c r="AD114" s="19">
        <v>25</v>
      </c>
      <c r="AE114" s="19">
        <f t="shared" si="9"/>
        <v>3.4</v>
      </c>
      <c r="AF114" s="19">
        <f t="shared" si="10"/>
        <v>1.03030303030303</v>
      </c>
      <c r="AG114" s="19">
        <f t="shared" si="8"/>
        <v>0.441229078958542</v>
      </c>
    </row>
    <row r="115" spans="1:47">
      <c r="C115" s="19" t="s">
        <v>246</v>
      </c>
      <c r="D115" s="269">
        <f>(1+D104)^G110*(1+F103)^G109*(1+F102)^(30-G110-G109)</f>
        <v>576.043933627393</v>
      </c>
      <c r="E115" s="86">
        <f>LOG(D115,1.07)</f>
        <v>93.9448847238773</v>
      </c>
      <c r="F115" s="86">
        <v>65.955238095238</v>
      </c>
      <c r="G115" s="19">
        <v>775</v>
      </c>
      <c r="H115" s="86">
        <f>(G115*$T$119+F115)*60</f>
        <v>3957.31428571428</v>
      </c>
      <c r="I115" s="19">
        <v>300</v>
      </c>
      <c r="L115" s="19" t="s">
        <v>323</v>
      </c>
      <c r="M115" s="19">
        <f t="shared" si="14"/>
        <v>64</v>
      </c>
      <c r="N115" s="19">
        <f t="shared" si="13"/>
        <v>1024</v>
      </c>
      <c r="O115" s="19">
        <v>106</v>
      </c>
      <c r="S115" s="19" t="s">
        <v>323</v>
      </c>
      <c r="T115" s="19">
        <f>1-SUM(P91:T91)</f>
        <v>0.6105</v>
      </c>
      <c r="W115" s="19" t="s">
        <v>340</v>
      </c>
      <c r="X115" s="226">
        <v>0.5</v>
      </c>
      <c r="AD115" s="19">
        <v>26</v>
      </c>
      <c r="AE115" s="19">
        <f t="shared" si="9"/>
        <v>3.5</v>
      </c>
      <c r="AF115" s="19">
        <f t="shared" si="10"/>
        <v>1.02941176470588</v>
      </c>
      <c r="AG115" s="19">
        <f t="shared" si="8"/>
        <v>0.428438012392032</v>
      </c>
    </row>
    <row r="116" spans="1:47">
      <c r="C116" s="19" t="s">
        <v>239</v>
      </c>
      <c r="D116" s="269">
        <f>(1+D104)^G110*(1+E103)^G109*(1+F102)^(30-G110-G109)</f>
        <v>404.697927709191</v>
      </c>
      <c r="E116" s="86">
        <f>LOG(D116,1.07)</f>
        <v>88.7268821757739</v>
      </c>
      <c r="F116" s="86">
        <v>19.9319047619048</v>
      </c>
      <c r="G116" s="19">
        <v>275</v>
      </c>
      <c r="H116" s="86">
        <f>(G116*$T$119+F116)*60</f>
        <v>1195.91428571429</v>
      </c>
      <c r="I116" s="19">
        <v>300</v>
      </c>
      <c r="L116" s="19" t="s">
        <v>326</v>
      </c>
      <c r="M116" s="19">
        <f t="shared" si="14"/>
        <v>256</v>
      </c>
      <c r="N116" s="19">
        <f t="shared" si="13"/>
        <v>4096</v>
      </c>
      <c r="O116" s="19">
        <v>426</v>
      </c>
      <c r="P116" s="19">
        <f>1/M116*360</f>
        <v>1.40625</v>
      </c>
      <c r="S116" s="19" t="s">
        <v>326</v>
      </c>
      <c r="T116" s="19">
        <f>1-SUM(P92:T92)</f>
        <v>0.6105</v>
      </c>
      <c r="AD116" s="19">
        <v>27</v>
      </c>
      <c r="AE116" s="19">
        <f t="shared" si="9"/>
        <v>3.6</v>
      </c>
      <c r="AF116" s="19">
        <f t="shared" si="10"/>
        <v>1.02857142857143</v>
      </c>
      <c r="AG116" s="19">
        <f t="shared" si="8"/>
        <v>0.416367716502627</v>
      </c>
    </row>
    <row r="117" spans="1:47">
      <c r="C117" s="19" t="s">
        <v>262</v>
      </c>
      <c r="D117" s="269">
        <f>(1+D103)^G109*(1+E102)^(30-G109)</f>
        <v>64.4348195756871</v>
      </c>
      <c r="E117" s="86">
        <f>LOG(D117,1.07)</f>
        <v>61.5686871908274</v>
      </c>
      <c r="F117" s="86">
        <v>6.08619047619048</v>
      </c>
      <c r="G117" s="19">
        <v>250</v>
      </c>
      <c r="H117" s="86">
        <f>(G117*$T$119+F117)*60</f>
        <v>365.171428571429</v>
      </c>
      <c r="I117" s="19">
        <v>300</v>
      </c>
      <c r="K117" s="19">
        <f>O124*Q124</f>
        <v>1.38</v>
      </c>
      <c r="L117" s="19" t="s">
        <v>334</v>
      </c>
      <c r="M117" s="19">
        <f t="shared" si="14"/>
        <v>1024</v>
      </c>
      <c r="N117" s="19">
        <f t="shared" si="13"/>
        <v>16384</v>
      </c>
      <c r="O117" s="19">
        <v>1706</v>
      </c>
      <c r="P117" s="19">
        <f>1/M117*720</f>
        <v>0.703125</v>
      </c>
      <c r="S117" s="19" t="s">
        <v>334</v>
      </c>
      <c r="T117" s="19">
        <f>1-SUM(P93:T93)</f>
        <v>0.6105</v>
      </c>
      <c r="AD117" s="19">
        <v>28</v>
      </c>
      <c r="AE117" s="19">
        <f t="shared" si="9"/>
        <v>3.7</v>
      </c>
      <c r="AF117" s="19">
        <f t="shared" si="10"/>
        <v>1.02777777777778</v>
      </c>
      <c r="AG117" s="19">
        <f t="shared" si="8"/>
        <v>0.404958934388384</v>
      </c>
    </row>
    <row r="118" spans="1:47">
      <c r="C118" s="19" t="s">
        <v>417</v>
      </c>
      <c r="D118" s="269">
        <f>(1+D102)^30</f>
        <v>17.4494022688864</v>
      </c>
      <c r="E118" s="86">
        <f>LOG(D118,1.07)</f>
        <v>42.2607524481715</v>
      </c>
      <c r="F118" s="86">
        <v>1.69285714285714</v>
      </c>
      <c r="G118" s="19">
        <v>100</v>
      </c>
      <c r="H118" s="86">
        <f>(G118*$T$119+F118)*60</f>
        <v>101.571428571428</v>
      </c>
      <c r="I118" s="19">
        <v>300</v>
      </c>
      <c r="L118" s="19" t="s">
        <v>344</v>
      </c>
      <c r="M118" s="19">
        <f t="shared" si="14"/>
        <v>4096</v>
      </c>
      <c r="N118" s="19">
        <f t="shared" si="13"/>
        <v>65536</v>
      </c>
      <c r="O118" s="19">
        <v>6826</v>
      </c>
      <c r="P118" s="19">
        <f>1/M118*1440</f>
        <v>0.3515625</v>
      </c>
      <c r="S118" s="19" t="s">
        <v>344</v>
      </c>
      <c r="T118" s="19">
        <f>1-SUM(P94:T94)</f>
        <v>0.6105</v>
      </c>
      <c r="AD118" s="19">
        <v>29</v>
      </c>
      <c r="AE118" s="19">
        <f t="shared" si="9"/>
        <v>3.8</v>
      </c>
      <c r="AF118" s="19">
        <f t="shared" si="10"/>
        <v>1.02702702702703</v>
      </c>
      <c r="AG118" s="19">
        <f t="shared" si="8"/>
        <v>0.394158731865334</v>
      </c>
    </row>
    <row r="119" spans="1:47">
      <c r="P119" s="19">
        <f>SUM(P116:P118)</f>
        <v>2.4609375</v>
      </c>
      <c r="AD119" s="19">
        <v>30</v>
      </c>
      <c r="AE119" s="19">
        <f t="shared" si="9"/>
        <v>3.9</v>
      </c>
      <c r="AF119" s="19">
        <f t="shared" si="10"/>
        <v>1.02631578947368</v>
      </c>
      <c r="AG119" s="19">
        <f t="shared" si="8"/>
        <v>0.383919676038367</v>
      </c>
    </row>
    <row r="121" spans="1:47">
      <c r="M121" s="80" t="s">
        <v>645</v>
      </c>
    </row>
    <row r="122" spans="1:47">
      <c r="C122" s="270" t="s">
        <v>183</v>
      </c>
      <c r="E122" s="271"/>
      <c r="F122" s="272" t="s">
        <v>646</v>
      </c>
      <c r="G122" s="272"/>
      <c r="H122" s="272"/>
      <c r="I122" s="272" t="s">
        <v>179</v>
      </c>
      <c r="J122" s="272"/>
      <c r="K122" s="272"/>
      <c r="L122" s="272"/>
      <c r="M122" s="272" t="s">
        <v>647</v>
      </c>
      <c r="N122" s="272"/>
      <c r="O122" s="272"/>
      <c r="P122" s="272"/>
      <c r="Q122" s="272"/>
      <c r="R122" s="273" t="s">
        <v>181</v>
      </c>
      <c r="S122" s="273"/>
      <c r="T122" s="273"/>
      <c r="U122" s="273"/>
      <c r="V122" s="273"/>
      <c r="W122" s="273"/>
      <c r="X122" s="273"/>
      <c r="Y122" s="273"/>
      <c r="Z122" s="273"/>
      <c r="AA122" s="273"/>
      <c r="AB122" s="273"/>
      <c r="AC122" s="273"/>
      <c r="AD122" s="273"/>
      <c r="AE122" s="273"/>
      <c r="AF122" s="274" t="s">
        <v>648</v>
      </c>
      <c r="AG122" s="274"/>
      <c r="AH122" s="274" t="s">
        <v>558</v>
      </c>
      <c r="AI122" s="274"/>
      <c r="AJ122" s="274"/>
      <c r="AK122" s="274"/>
    </row>
    <row r="123" spans="1:47">
      <c r="C123" s="275" t="s">
        <v>296</v>
      </c>
      <c r="D123" s="275" t="s">
        <v>649</v>
      </c>
      <c r="E123" s="276" t="s">
        <v>650</v>
      </c>
      <c r="F123" s="277" t="s">
        <v>651</v>
      </c>
      <c r="G123" s="277" t="s">
        <v>652</v>
      </c>
      <c r="H123" s="277" t="s">
        <v>350</v>
      </c>
      <c r="I123" s="272" t="s">
        <v>653</v>
      </c>
      <c r="J123" s="272" t="s">
        <v>654</v>
      </c>
      <c r="K123" s="272" t="s">
        <v>655</v>
      </c>
      <c r="L123" s="272" t="s">
        <v>187</v>
      </c>
      <c r="M123" s="272" t="s">
        <v>656</v>
      </c>
      <c r="N123" s="272" t="s">
        <v>657</v>
      </c>
      <c r="O123" s="272" t="s">
        <v>658</v>
      </c>
      <c r="P123" s="272" t="s">
        <v>659</v>
      </c>
      <c r="Q123" s="272" t="s">
        <v>189</v>
      </c>
      <c r="R123" s="278" t="s">
        <v>660</v>
      </c>
      <c r="S123" s="278" t="s">
        <v>661</v>
      </c>
      <c r="T123" s="278" t="s">
        <v>662</v>
      </c>
      <c r="U123" s="278" t="s">
        <v>184</v>
      </c>
      <c r="V123" s="278" t="s">
        <v>663</v>
      </c>
      <c r="W123" s="278" t="s">
        <v>664</v>
      </c>
      <c r="X123" s="278" t="s">
        <v>299</v>
      </c>
      <c r="Y123" s="278" t="s">
        <v>665</v>
      </c>
      <c r="Z123" s="278" t="s">
        <v>598</v>
      </c>
      <c r="AA123" s="278" t="s">
        <v>666</v>
      </c>
      <c r="AB123" s="278" t="s">
        <v>667</v>
      </c>
      <c r="AC123" s="278" t="s">
        <v>668</v>
      </c>
      <c r="AD123" s="278" t="s">
        <v>669</v>
      </c>
      <c r="AE123" s="278" t="s">
        <v>670</v>
      </c>
      <c r="AF123" s="278" t="s">
        <v>570</v>
      </c>
      <c r="AG123" s="278" t="s">
        <v>291</v>
      </c>
      <c r="AH123" s="278" t="s">
        <v>388</v>
      </c>
      <c r="AI123" s="278" t="s">
        <v>671</v>
      </c>
      <c r="AJ123" s="278" t="s">
        <v>672</v>
      </c>
      <c r="AK123" s="278" t="s">
        <v>378</v>
      </c>
      <c r="AL123" s="278" t="s">
        <v>673</v>
      </c>
      <c r="AM123" s="278" t="s">
        <v>674</v>
      </c>
      <c r="AN123" s="278" t="s">
        <v>675</v>
      </c>
      <c r="AO123" s="278" t="s">
        <v>676</v>
      </c>
      <c r="AP123" s="278" t="s">
        <v>677</v>
      </c>
      <c r="AQ123" s="278" t="s">
        <v>678</v>
      </c>
      <c r="AR123" s="278" t="s">
        <v>679</v>
      </c>
      <c r="AS123" s="278" t="s">
        <v>680</v>
      </c>
      <c r="AT123" s="278" t="s">
        <v>681</v>
      </c>
      <c r="AU123" s="278" t="s">
        <v>682</v>
      </c>
    </row>
    <row r="124" spans="1:47">
      <c r="C124" s="19">
        <v>1</v>
      </c>
      <c r="D124" s="19">
        <f>G124</f>
        <v>10</v>
      </c>
      <c r="E124" s="251">
        <f t="shared" ref="E124:E187" si="15">J124+N124+U124+AJ124</f>
        <v>0</v>
      </c>
      <c r="G124" s="86">
        <f>养成框架!F64</f>
        <v>10</v>
      </c>
      <c r="H124" s="279">
        <f>G124</f>
        <v>10</v>
      </c>
      <c r="I124" s="269"/>
      <c r="J124" s="280"/>
      <c r="K124" s="19">
        <v>600</v>
      </c>
      <c r="L124" s="226">
        <v>1.05</v>
      </c>
      <c r="M124" s="226"/>
      <c r="N124" s="281"/>
      <c r="O124" s="226">
        <v>1.15</v>
      </c>
      <c r="P124" s="19">
        <v>5</v>
      </c>
      <c r="Q124" s="226">
        <v>1.2</v>
      </c>
      <c r="R124" s="269">
        <f ca="1" t="shared" ref="R124:R187" si="16">S124/$E$115</f>
        <v>0.0640872209710576</v>
      </c>
      <c r="S124" s="266">
        <f ca="1" t="shared" ref="S124:S187" si="17">LOG(T124,1.07)</f>
        <v>6.02066658639966</v>
      </c>
      <c r="T124" s="226">
        <f ca="1">(1+OFFSET('玩法产出(新)'!$C$18,MATCH(X124,'玩法产出(新)'!$B$19:$B$25,0),1)*(1-V124)+OFFSET('玩法产出(新)'!$C$18,1+MATCH(X124,'玩法产出(新)'!$B$19:$B$25,0),1)*(V124))^AA124*(1+OFFSET('玩法产出(新)'!$C$18,MATCH(X124,'玩法产出(新)'!$B$19:$B$25,0),3)*(1-V124)+OFFSET('玩法产出(新)'!$C$18,1+MATCH(X124,'玩法产出(新)'!$B$19:$B$25,0),3)*(V124))^AB124*(1+OFFSET('玩法产出(新)'!$C$18,MATCH(X124,'玩法产出(新)'!$B$19:$B$25,0),4)*(1-V124)+OFFSET('玩法产出(新)'!$C$18,1+MATCH(X124,'玩法产出(新)'!$B$19:$B$25,0),4)*(V124))^AC124*(1+OFFSET('玩法产出(新)'!$C$18,MATCH(X124,'玩法产出(新)'!$B$19:$B$25,0),5)*(1+V124)+OFFSET('玩法产出(新)'!$C$18,1+MATCH(X124,'玩法产出(新)'!$B$19:$B$25,5),1)*(V124))^AD124*(1+OFFSET('玩法产出(新)'!$C$18,MATCH(X124,'玩法产出(新)'!$B$19:$B$25,0),6)*(1+V124)+OFFSET('玩法产出(新)'!$C$18,1+MATCH(X124,'玩法产出(新)'!$B$19:$B$25,0),6)*(V124))^AE124</f>
        <v>1.50283025081124</v>
      </c>
      <c r="U124" s="226"/>
      <c r="V124" s="226">
        <f ca="1">COUNTIF($X$124:$X124,X124)/(COUNTIF($X$124:$X$723,X124)+1)</f>
        <v>0.5</v>
      </c>
      <c r="W124" s="19">
        <v>12</v>
      </c>
      <c r="X124" s="19" t="str">
        <f ca="1" t="shared" ref="X124:X187" si="18">OFFSET($L$111,MATCH(Y124*0.6/W124,$M$112:$M$118,1),0)</f>
        <v>绿</v>
      </c>
      <c r="Y124" s="19">
        <v>300</v>
      </c>
      <c r="Z124" s="19">
        <f ca="1" t="shared" ref="Z124:Z187" si="19">(_xlfn.XLOOKUP(X124,$W$110:$W$115,$X$110:$X$115)+V124*_xlfn.XLOOKUP(X124,$W$110:$W$115,$Y$110:$Y$115))*MIN(AA124/2,6)</f>
        <v>0.945536302083333</v>
      </c>
      <c r="AA124" s="282">
        <f ca="1" t="shared" ref="AA124:AA187" si="20">MAX(W124-SUM(AB124:AE124),0)</f>
        <v>10.8061291666667</v>
      </c>
      <c r="AB124" s="282">
        <f ca="1" t="shared" ref="AB124:AB187" si="21">MIN(1+($Y124*$P$116+120*$C124)/OFFSET($G$101,MATCH(AB$123,$AB$123:$AE$123),0),18)</f>
        <v>1.15052083333333</v>
      </c>
      <c r="AC124" s="282">
        <f ca="1" t="shared" ref="AC124:AC187" si="22">MIN(($Y124*$P$116+120*$C124)/OFFSET($G$101,MATCH(AC$123,$AB$123:$AE$123),0),12)</f>
        <v>0.04335</v>
      </c>
      <c r="AD124" s="282">
        <f ca="1" t="shared" ref="AD124:AD187" si="23">IF(MATCH($X124,$L$112:$L$118,0)&gt;=4,($Y124*$P$116+120*$C124)/OFFSET($G$101,MATCH(AD$123,$AB$123:$AE$123),0),0)</f>
        <v>0</v>
      </c>
      <c r="AE124" s="282">
        <f ca="1" t="shared" ref="AE124:AE187" si="24">IF(MATCH($X124,$L$112:$L$118,0)&gt;=4,($Y124*$P$116+120*$C124)/OFFSET($G$101,MATCH(AE$123,$AB$123:$AE$123),0),0)</f>
        <v>0</v>
      </c>
      <c r="AF124" s="19" t="str">
        <f t="shared" ref="AF124:AF187" si="25">_xlfn.XLOOKUP(O124,$D$77:$D$95,$F$77:$F$95)</f>
        <v>紫</v>
      </c>
      <c r="AG124" s="19">
        <f>IFERROR(_xlfn.XLOOKUP(C124+1,[2]基因升级!$E$141:$E$500,[2]基因升级!$D$141:$D$500)-1,AG123)</f>
        <v>15</v>
      </c>
      <c r="AH124" s="19">
        <v>0</v>
      </c>
      <c r="AI124" s="19">
        <f t="shared" ref="AI124:AI187" si="26">LOG(AK124,1.07)</f>
        <v>0</v>
      </c>
      <c r="AK124" s="269">
        <v>1</v>
      </c>
      <c r="AQ124" s="19">
        <f t="shared" ref="AQ124:AQ187" si="27">1.07^AL124</f>
        <v>1</v>
      </c>
      <c r="AR124" s="19">
        <f t="shared" ref="AR124:AR187" si="28">1.07^AM124</f>
        <v>1</v>
      </c>
      <c r="AS124" s="19">
        <f t="shared" ref="AS124:AS187" si="29">1.07^AN124</f>
        <v>1</v>
      </c>
      <c r="AT124" s="19">
        <f t="shared" ref="AT124:AT187" si="30">1.07^AO124</f>
        <v>1</v>
      </c>
      <c r="AU124" s="19">
        <f t="shared" ref="AU124:AU187" si="31">1.07^AP124</f>
        <v>1</v>
      </c>
    </row>
    <row r="125" spans="1:47">
      <c r="A125" s="279">
        <f>SUM($N$125:N125)</f>
        <v>1.81207169900507</v>
      </c>
      <c r="C125" s="19">
        <v>2</v>
      </c>
      <c r="D125" s="86">
        <f ca="1">D124+E125</f>
        <v>19.9161442599443</v>
      </c>
      <c r="E125" s="251">
        <f ca="1" t="shared" si="15"/>
        <v>9.91614425994432</v>
      </c>
      <c r="F125" s="269">
        <f ca="1" t="shared" ref="F125:F188" si="32">G125/E125</f>
        <v>1.62706880671986</v>
      </c>
      <c r="G125" s="283">
        <f>LOG((K125*O125*L125*Q125)/($K$124*$O$124*$L$124*$Q$124),1.07)+$G$124</f>
        <v>16.1342490082896</v>
      </c>
      <c r="H125" s="279">
        <f t="shared" ref="H125:H188" si="33">G125-G124</f>
        <v>6.13424900828957</v>
      </c>
      <c r="I125" s="269">
        <f>SUM($J$125:J125)/SUM($H$125:H125)</f>
        <v>0.70459762938278</v>
      </c>
      <c r="J125" s="284">
        <f>LOG(K125*L125/$K$124/$L$124,1.07)</f>
        <v>4.3221773092845</v>
      </c>
      <c r="K125" s="19">
        <f>K124+200</f>
        <v>800</v>
      </c>
      <c r="L125" s="269">
        <f t="shared" ref="L125:L188" si="34">L124+0.5%</f>
        <v>1.055</v>
      </c>
      <c r="M125" s="226">
        <f t="shared" ref="M125:M188" si="35">O125*Q125</f>
        <v>1.56</v>
      </c>
      <c r="N125" s="268">
        <f>LOG(O125*Q125/($O$124*$Q$124),1.07)</f>
        <v>1.81207169900507</v>
      </c>
      <c r="O125" s="226">
        <v>1.3</v>
      </c>
      <c r="P125" s="19">
        <v>5</v>
      </c>
      <c r="Q125" s="226">
        <v>1.2</v>
      </c>
      <c r="R125" s="269">
        <f ca="1" t="shared" si="16"/>
        <v>0.104343752902205</v>
      </c>
      <c r="S125" s="266">
        <f ca="1" t="shared" si="17"/>
        <v>9.80256183805441</v>
      </c>
      <c r="T125" s="226">
        <f ca="1">(1+OFFSET('玩法产出(新)'!$C$18,MATCH(X125,'玩法产出(新)'!$B$19:$B$25,0),1)*(1-V125)+OFFSET('玩法产出(新)'!$C$18,1+MATCH(X125,'玩法产出(新)'!$B$19:$B$25,0),1)*(V125))^AA125*(1+OFFSET('玩法产出(新)'!$C$18,MATCH(X125,'玩法产出(新)'!$B$19:$B$25,0),3)*(1-V125)+OFFSET('玩法产出(新)'!$C$18,1+MATCH(X125,'玩法产出(新)'!$B$19:$B$25,0),3)*(V125))^AB125*(1+OFFSET('玩法产出(新)'!$C$18,MATCH(X125,'玩法产出(新)'!$B$19:$B$25,0),4)*(1-V125)+OFFSET('玩法产出(新)'!$C$18,1+MATCH(X125,'玩法产出(新)'!$B$19:$B$25,0),4)*(V125))^AC125*(1+OFFSET('玩法产出(新)'!$C$18,MATCH(X125,'玩法产出(新)'!$B$19:$B$25,0),5)*(1+V125)+OFFSET('玩法产出(新)'!$C$18,1+MATCH(X125,'玩法产出(新)'!$B$19:$B$25,5),1)*(V125))^AD125*(1+OFFSET('玩法产出(新)'!$C$18,MATCH(X125,'玩法产出(新)'!$B$19:$B$25,0),6)*(1+V125)+OFFSET('玩法产出(新)'!$C$18,1+MATCH(X125,'玩法产出(新)'!$B$19:$B$25,0),6)*(V125))^AE125</f>
        <v>1.94104810120971</v>
      </c>
      <c r="U125" s="226">
        <f ca="1" t="shared" ref="U125:U188" si="36">LOG(T125/T124,1.07)</f>
        <v>3.78189525165475</v>
      </c>
      <c r="V125" s="226">
        <f ca="1">COUNTIF($X$124:$X125,X125)/(COUNTIF($X$124:$X$723,X125)+1)</f>
        <v>0.05</v>
      </c>
      <c r="W125" s="19">
        <v>16</v>
      </c>
      <c r="X125" s="19" t="str">
        <f ca="1" t="shared" si="18"/>
        <v>蓝</v>
      </c>
      <c r="Y125" s="19">
        <v>600</v>
      </c>
      <c r="Z125" s="19">
        <f ca="1" t="shared" si="19"/>
        <v>1.215</v>
      </c>
      <c r="AA125" s="282">
        <f ca="1" t="shared" si="20"/>
        <v>14.6122583333333</v>
      </c>
      <c r="AB125" s="282">
        <f ca="1" t="shared" si="21"/>
        <v>1.30104166666667</v>
      </c>
      <c r="AC125" s="282">
        <f ca="1" t="shared" si="22"/>
        <v>0.0867</v>
      </c>
      <c r="AD125" s="282">
        <f ca="1" t="shared" si="23"/>
        <v>0</v>
      </c>
      <c r="AE125" s="282">
        <f ca="1" t="shared" si="24"/>
        <v>0</v>
      </c>
      <c r="AF125" s="19" t="str">
        <f t="shared" si="25"/>
        <v>橙</v>
      </c>
      <c r="AG125" s="19">
        <f>IFERROR(_xlfn.XLOOKUP(C125+1,[2]基因升级!$E$141:$E$500,[2]基因升级!$D$141:$D$500)-1,AG124)</f>
        <v>19</v>
      </c>
      <c r="AH125" s="19">
        <v>0</v>
      </c>
      <c r="AI125" s="19">
        <f t="shared" si="26"/>
        <v>0</v>
      </c>
      <c r="AJ125" s="19">
        <f t="shared" ref="AJ125:AJ188" si="37">AI125-AI124</f>
        <v>0</v>
      </c>
      <c r="AK125" s="269">
        <v>1</v>
      </c>
      <c r="AQ125" s="19">
        <f t="shared" si="27"/>
        <v>1</v>
      </c>
      <c r="AR125" s="19">
        <f t="shared" si="28"/>
        <v>1</v>
      </c>
      <c r="AS125" s="19">
        <f t="shared" si="29"/>
        <v>1</v>
      </c>
      <c r="AT125" s="19">
        <f t="shared" si="30"/>
        <v>1</v>
      </c>
      <c r="AU125" s="19">
        <f t="shared" si="31"/>
        <v>1</v>
      </c>
    </row>
    <row r="126" spans="1:47">
      <c r="A126" s="279">
        <f>SUM($N$125:N126)</f>
        <v>2.29670778859059</v>
      </c>
      <c r="C126" s="19">
        <v>3</v>
      </c>
      <c r="D126" s="86">
        <f ca="1" t="shared" ref="D126:D189" si="38">D125+E126</f>
        <v>25.1408218287357</v>
      </c>
      <c r="E126" s="251">
        <f ca="1" t="shared" si="15"/>
        <v>5.2246775687914</v>
      </c>
      <c r="F126" s="269">
        <f ca="1" t="shared" si="32"/>
        <v>3.82546977896534</v>
      </c>
      <c r="G126" s="283">
        <f>LOG((K126*O126*L126*Q126)/($K$124*$O$124*$L$124*$Q$124),1.07)+$G$124</f>
        <v>19.9868461442496</v>
      </c>
      <c r="H126" s="279">
        <f t="shared" si="33"/>
        <v>3.85259713596004</v>
      </c>
      <c r="I126" s="269">
        <f>SUM($J$125:J126)/SUM($H$125:H126)</f>
        <v>0.770026717602631</v>
      </c>
      <c r="J126" s="284">
        <f t="shared" ref="J126:J189" si="39">LOG(K126*L126/$K$124/$L$124,1.07)-LOG(K125*L125/$K$124/$L$124,1.07)</f>
        <v>3.36796104637452</v>
      </c>
      <c r="K126" s="19">
        <f>K125+200</f>
        <v>1000</v>
      </c>
      <c r="L126" s="269">
        <f t="shared" si="34"/>
        <v>1.06</v>
      </c>
      <c r="M126" s="226">
        <f t="shared" si="35"/>
        <v>1.612</v>
      </c>
      <c r="N126" s="280">
        <f t="shared" ref="N126:N189" si="40">LOG(O126*Q126/($O$124*$Q$124),1.07)-LOG(O125*Q125/($O$124*$Q$124),1.07)</f>
        <v>0.48463608958552</v>
      </c>
      <c r="O126" s="226">
        <v>1.3</v>
      </c>
      <c r="P126" s="86">
        <f ca="1" t="shared" ref="P126:P136" si="41">IF(O126=O125,P125+OFFSET($H$75,MATCH(P125,$G$76:$G$84,1),0)*1.667,5)</f>
        <v>5.55566666666667</v>
      </c>
      <c r="Q126" s="226">
        <v>1.24</v>
      </c>
      <c r="R126" s="269">
        <f ca="1" t="shared" si="16"/>
        <v>0.118948916736981</v>
      </c>
      <c r="S126" s="266">
        <f ca="1" t="shared" si="17"/>
        <v>11.1746422708858</v>
      </c>
      <c r="T126" s="226">
        <f ca="1">(1+OFFSET('玩法产出(新)'!$C$18,MATCH(X126,'玩法产出(新)'!$B$19:$B$25,0),1)*(1-V126)+OFFSET('玩法产出(新)'!$C$18,1+MATCH(X126,'玩法产出(新)'!$B$19:$B$25,0),1)*(V126))^AA126*(1+OFFSET('玩法产出(新)'!$C$18,MATCH(X126,'玩法产出(新)'!$B$19:$B$25,0),3)*(1-V126)+OFFSET('玩法产出(新)'!$C$18,1+MATCH(X126,'玩法产出(新)'!$B$19:$B$25,0),3)*(V126))^AB126*(1+OFFSET('玩法产出(新)'!$C$18,MATCH(X126,'玩法产出(新)'!$B$19:$B$25,0),4)*(1-V126)+OFFSET('玩法产出(新)'!$C$18,1+MATCH(X126,'玩法产出(新)'!$B$19:$B$25,0),4)*(V126))^AC126*(1+OFFSET('玩法产出(新)'!$C$18,MATCH(X126,'玩法产出(新)'!$B$19:$B$25,0),5)*(1+V126)+OFFSET('玩法产出(新)'!$C$18,1+MATCH(X126,'玩法产出(新)'!$B$19:$B$25,5),1)*(V126))^AD126*(1+OFFSET('玩法产出(新)'!$C$18,MATCH(X126,'玩法产出(新)'!$B$19:$B$25,0),6)*(1+V126)+OFFSET('玩法产出(新)'!$C$18,1+MATCH(X126,'玩法产出(新)'!$B$19:$B$25,0),6)*(V126))^AE126</f>
        <v>2.12987052870108</v>
      </c>
      <c r="U126" s="226">
        <f ca="1" t="shared" si="36"/>
        <v>1.37208043283136</v>
      </c>
      <c r="V126" s="226">
        <f ca="1">COUNTIF($X$124:$X126,X126)/(COUNTIF($X$124:$X$723,X126)+1)</f>
        <v>0.1</v>
      </c>
      <c r="W126" s="19">
        <v>18</v>
      </c>
      <c r="X126" s="19" t="str">
        <f ca="1" t="shared" si="18"/>
        <v>蓝</v>
      </c>
      <c r="Y126" s="19">
        <v>900</v>
      </c>
      <c r="Z126" s="19">
        <f ca="1" t="shared" si="19"/>
        <v>1.23</v>
      </c>
      <c r="AA126" s="282">
        <f ca="1" t="shared" si="20"/>
        <v>16.4183875</v>
      </c>
      <c r="AB126" s="282">
        <f ca="1" t="shared" si="21"/>
        <v>1.4515625</v>
      </c>
      <c r="AC126" s="282">
        <f ca="1" t="shared" si="22"/>
        <v>0.13005</v>
      </c>
      <c r="AD126" s="282">
        <f ca="1" t="shared" si="23"/>
        <v>0</v>
      </c>
      <c r="AE126" s="282">
        <f ca="1" t="shared" si="24"/>
        <v>0</v>
      </c>
      <c r="AF126" s="19" t="str">
        <f t="shared" si="25"/>
        <v>橙</v>
      </c>
      <c r="AG126" s="19">
        <f>IFERROR(_xlfn.XLOOKUP(C126+1,[2]基因升级!$E$141:$E$500,[2]基因升级!$D$141:$D$500)-1,AG125)</f>
        <v>22</v>
      </c>
      <c r="AH126" s="19">
        <v>0</v>
      </c>
      <c r="AI126" s="19">
        <f t="shared" si="26"/>
        <v>0</v>
      </c>
      <c r="AJ126" s="19">
        <f t="shared" si="37"/>
        <v>0</v>
      </c>
      <c r="AK126" s="269">
        <v>1</v>
      </c>
      <c r="AQ126" s="19">
        <f t="shared" si="27"/>
        <v>1</v>
      </c>
      <c r="AR126" s="19">
        <f t="shared" si="28"/>
        <v>1</v>
      </c>
      <c r="AS126" s="19">
        <f t="shared" si="29"/>
        <v>1</v>
      </c>
      <c r="AT126" s="19">
        <f t="shared" si="30"/>
        <v>1</v>
      </c>
      <c r="AU126" s="19">
        <f t="shared" si="31"/>
        <v>1</v>
      </c>
    </row>
    <row r="127" spans="1:47">
      <c r="A127" s="279">
        <f ca="1">SUM($N$125:N127)</f>
        <v>3.07086143676993</v>
      </c>
      <c r="C127" s="19">
        <v>4</v>
      </c>
      <c r="D127" s="86">
        <f ca="1" t="shared" si="38"/>
        <v>32.6796345104687</v>
      </c>
      <c r="E127" s="251">
        <f ca="1" t="shared" si="15"/>
        <v>7.53881268173296</v>
      </c>
      <c r="F127" s="269">
        <f ca="1" t="shared" si="32"/>
        <v>3.12055502255263</v>
      </c>
      <c r="G127" s="283">
        <f ca="1">LOG((K127*O127*L127*Q127)/($K$124*$O$124*$L$124*$Q$124),1.07)+$G$124</f>
        <v>23.5252797780652</v>
      </c>
      <c r="H127" s="279">
        <f ca="1" t="shared" si="33"/>
        <v>3.53843363381563</v>
      </c>
      <c r="I127" s="269">
        <f ca="1">SUM($J$125:J127)/SUM($H$125:H127)</f>
        <v>0.77295394349253</v>
      </c>
      <c r="J127" s="284">
        <f t="shared" si="39"/>
        <v>2.76427998563628</v>
      </c>
      <c r="K127" s="19">
        <f>K126+200</f>
        <v>1200</v>
      </c>
      <c r="L127" s="269">
        <f t="shared" si="34"/>
        <v>1.065</v>
      </c>
      <c r="M127" s="226">
        <f ca="1" t="shared" si="35"/>
        <v>1.698684</v>
      </c>
      <c r="N127" s="280">
        <f ca="1" t="shared" si="40"/>
        <v>0.77415364817934</v>
      </c>
      <c r="O127" s="226">
        <v>1.3</v>
      </c>
      <c r="P127" s="86">
        <f ca="1" t="shared" si="41"/>
        <v>6.11133333333333</v>
      </c>
      <c r="Q127" s="226">
        <f ca="1" t="shared" ref="Q127:Q136" si="42">_xlfn.XLOOKUP(O127,$D$76:$D$85,$E$76:$E$85)*(P127-1)+1</f>
        <v>1.30668</v>
      </c>
      <c r="R127" s="269">
        <f ca="1" t="shared" si="16"/>
        <v>0.140272824038632</v>
      </c>
      <c r="S127" s="266">
        <f ca="1" t="shared" si="17"/>
        <v>13.177914284202</v>
      </c>
      <c r="T127" s="226">
        <f ca="1">(1+OFFSET('玩法产出(新)'!$C$18,MATCH(X127,'玩法产出(新)'!$B$19:$B$25,0),1)*(1-V127)+OFFSET('玩法产出(新)'!$C$18,1+MATCH(X127,'玩法产出(新)'!$B$19:$B$25,0),1)*(V127))^AA127*(1+OFFSET('玩法产出(新)'!$C$18,MATCH(X127,'玩法产出(新)'!$B$19:$B$25,0),3)*(1-V127)+OFFSET('玩法产出(新)'!$C$18,1+MATCH(X127,'玩法产出(新)'!$B$19:$B$25,0),3)*(V127))^AB127*(1+OFFSET('玩法产出(新)'!$C$18,MATCH(X127,'玩法产出(新)'!$B$19:$B$25,0),4)*(1-V127)+OFFSET('玩法产出(新)'!$C$18,1+MATCH(X127,'玩法产出(新)'!$B$19:$B$25,0),4)*(V127))^AC127*(1+OFFSET('玩法产出(新)'!$C$18,MATCH(X127,'玩法产出(新)'!$B$19:$B$25,0),5)*(1+V127)+OFFSET('玩法产出(新)'!$C$18,1+MATCH(X127,'玩法产出(新)'!$B$19:$B$25,5),1)*(V127))^AD127*(1+OFFSET('玩法产出(新)'!$C$18,MATCH(X127,'玩法产出(新)'!$B$19:$B$25,0),6)*(1+V127)+OFFSET('玩法产出(新)'!$C$18,1+MATCH(X127,'玩法产出(新)'!$B$19:$B$25,0),6)*(V127))^AE127</f>
        <v>2.43902866070887</v>
      </c>
      <c r="U127" s="226">
        <f ca="1" t="shared" si="36"/>
        <v>2.00327201331622</v>
      </c>
      <c r="V127" s="226">
        <f ca="1">COUNTIF($X$124:$X127,X127)/(COUNTIF($X$124:$X$723,X127)+1)</f>
        <v>0.15</v>
      </c>
      <c r="W127" s="19">
        <v>21</v>
      </c>
      <c r="X127" s="19" t="str">
        <f ca="1" t="shared" si="18"/>
        <v>蓝</v>
      </c>
      <c r="Y127" s="19">
        <v>1200</v>
      </c>
      <c r="Z127" s="19">
        <f ca="1" t="shared" si="19"/>
        <v>1.245</v>
      </c>
      <c r="AA127" s="282">
        <f ca="1" t="shared" si="20"/>
        <v>19.2245166666667</v>
      </c>
      <c r="AB127" s="282">
        <f ca="1" t="shared" si="21"/>
        <v>1.60208333333333</v>
      </c>
      <c r="AC127" s="282">
        <f ca="1" t="shared" si="22"/>
        <v>0.1734</v>
      </c>
      <c r="AD127" s="282">
        <f ca="1" t="shared" si="23"/>
        <v>0</v>
      </c>
      <c r="AE127" s="282">
        <f ca="1" t="shared" si="24"/>
        <v>0</v>
      </c>
      <c r="AF127" s="19" t="str">
        <f t="shared" si="25"/>
        <v>橙</v>
      </c>
      <c r="AG127" s="19">
        <f>IFERROR(_xlfn.XLOOKUP(C127+1,[2]基因升级!$E$141:$E$500,[2]基因升级!$D$141:$D$500)-1,AG126)</f>
        <v>25</v>
      </c>
      <c r="AH127" s="19">
        <v>1</v>
      </c>
      <c r="AI127" s="19">
        <f t="shared" si="26"/>
        <v>1.99710703460112</v>
      </c>
      <c r="AJ127" s="19">
        <f t="shared" si="37"/>
        <v>1.99710703460112</v>
      </c>
      <c r="AK127" s="269">
        <v>1.14467592592593</v>
      </c>
      <c r="AQ127" s="19">
        <f t="shared" si="27"/>
        <v>1</v>
      </c>
      <c r="AR127" s="19">
        <f t="shared" si="28"/>
        <v>1</v>
      </c>
      <c r="AS127" s="19">
        <f t="shared" si="29"/>
        <v>1</v>
      </c>
      <c r="AT127" s="19">
        <f t="shared" si="30"/>
        <v>1</v>
      </c>
      <c r="AU127" s="19">
        <f t="shared" si="31"/>
        <v>1</v>
      </c>
    </row>
    <row r="128" spans="1:47">
      <c r="A128" s="279">
        <f ca="1">SUM($N$125:N128)</f>
        <v>3.44324502156013</v>
      </c>
      <c r="C128" s="19">
        <v>5</v>
      </c>
      <c r="D128" s="86">
        <f ca="1" t="shared" si="38"/>
        <v>36.2876661932947</v>
      </c>
      <c r="E128" s="251">
        <f ca="1" t="shared" si="15"/>
        <v>3.60803168282605</v>
      </c>
      <c r="F128" s="269">
        <f ca="1" t="shared" si="32"/>
        <v>7.12514067245622</v>
      </c>
      <c r="G128" s="283">
        <f ca="1" t="shared" ref="G125:G188" si="43">LOG((K128*O128*L128*Q128)/($K$124*$O$124*$L$124*$Q$124),1.07)+$G$124</f>
        <v>25.7077332908146</v>
      </c>
      <c r="H128" s="279">
        <f ca="1" t="shared" si="33"/>
        <v>2.18245351274933</v>
      </c>
      <c r="I128" s="269">
        <f ca="1">SUM($J$125:J128)/SUM($H$125:H128)</f>
        <v>0.780793004451276</v>
      </c>
      <c r="J128" s="284">
        <f t="shared" si="39"/>
        <v>1.81006992795913</v>
      </c>
      <c r="K128" s="19">
        <f>K127+150</f>
        <v>1350</v>
      </c>
      <c r="L128" s="269">
        <f t="shared" si="34"/>
        <v>1.07</v>
      </c>
      <c r="M128" s="226">
        <f ca="1" t="shared" si="35"/>
        <v>1.742026</v>
      </c>
      <c r="N128" s="280">
        <f ca="1" t="shared" si="40"/>
        <v>0.3723835847902</v>
      </c>
      <c r="O128" s="226">
        <v>1.3</v>
      </c>
      <c r="P128" s="86">
        <f ca="1" t="shared" si="41"/>
        <v>6.667</v>
      </c>
      <c r="Q128" s="226">
        <f ca="1" t="shared" si="42"/>
        <v>1.34002</v>
      </c>
      <c r="R128" s="269">
        <f ca="1" t="shared" si="16"/>
        <v>0.155447446630024</v>
      </c>
      <c r="S128" s="266">
        <f ca="1" t="shared" si="17"/>
        <v>14.6034924542787</v>
      </c>
      <c r="T128" s="226">
        <f ca="1">(1+OFFSET('玩法产出(新)'!$C$18,MATCH(X128,'玩法产出(新)'!$B$19:$B$25,0),1)*(1-V128)+OFFSET('玩法产出(新)'!$C$18,1+MATCH(X128,'玩法产出(新)'!$B$19:$B$25,0),1)*(V128))^AA128*(1+OFFSET('玩法产出(新)'!$C$18,MATCH(X128,'玩法产出(新)'!$B$19:$B$25,0),3)*(1-V128)+OFFSET('玩法产出(新)'!$C$18,1+MATCH(X128,'玩法产出(新)'!$B$19:$B$25,0),3)*(V128))^AB128*(1+OFFSET('玩法产出(新)'!$C$18,MATCH(X128,'玩法产出(新)'!$B$19:$B$25,0),4)*(1-V128)+OFFSET('玩法产出(新)'!$C$18,1+MATCH(X128,'玩法产出(新)'!$B$19:$B$25,0),4)*(V128))^AC128*(1+OFFSET('玩法产出(新)'!$C$18,MATCH(X128,'玩法产出(新)'!$B$19:$B$25,0),5)*(1+V128)+OFFSET('玩法产出(新)'!$C$18,1+MATCH(X128,'玩法产出(新)'!$B$19:$B$25,5),1)*(V128))^AD128*(1+OFFSET('玩法产出(新)'!$C$18,MATCH(X128,'玩法产出(新)'!$B$19:$B$25,0),6)*(1+V128)+OFFSET('玩法产出(新)'!$C$18,1+MATCH(X128,'玩法产出(新)'!$B$19:$B$25,0),6)*(V128))^AE128</f>
        <v>2.68599856125256</v>
      </c>
      <c r="U128" s="226">
        <f ca="1" t="shared" si="36"/>
        <v>1.42557817007672</v>
      </c>
      <c r="V128" s="226">
        <f ca="1">COUNTIF($X$124:$X128,X128)/(COUNTIF($X$124:$X$723,X128)+1)</f>
        <v>0.2</v>
      </c>
      <c r="W128" s="19">
        <v>23</v>
      </c>
      <c r="X128" s="19" t="str">
        <f ca="1" t="shared" si="18"/>
        <v>蓝</v>
      </c>
      <c r="Y128" s="19">
        <v>1420</v>
      </c>
      <c r="Z128" s="19">
        <f ca="1" t="shared" si="19"/>
        <v>1.26</v>
      </c>
      <c r="AA128" s="282">
        <f ca="1" t="shared" si="20"/>
        <v>21.0708958333333</v>
      </c>
      <c r="AB128" s="282">
        <f ca="1" t="shared" si="21"/>
        <v>1.72135416666667</v>
      </c>
      <c r="AC128" s="282">
        <f ca="1" t="shared" si="22"/>
        <v>0.20775</v>
      </c>
      <c r="AD128" s="282">
        <f ca="1" t="shared" si="23"/>
        <v>0</v>
      </c>
      <c r="AE128" s="282">
        <f ca="1" t="shared" si="24"/>
        <v>0</v>
      </c>
      <c r="AF128" s="19" t="str">
        <f t="shared" si="25"/>
        <v>橙</v>
      </c>
      <c r="AG128" s="19">
        <f>IFERROR(_xlfn.XLOOKUP(C128+1,[2]基因升级!$E$141:$E$500,[2]基因升级!$D$141:$D$500)-1,AG127)</f>
        <v>27</v>
      </c>
      <c r="AH128" s="19">
        <v>1</v>
      </c>
      <c r="AI128" s="19">
        <f t="shared" si="26"/>
        <v>1.99710703460112</v>
      </c>
      <c r="AJ128" s="19">
        <f t="shared" si="37"/>
        <v>0</v>
      </c>
      <c r="AK128" s="269">
        <v>1.14467592592593</v>
      </c>
      <c r="AQ128" s="19">
        <f t="shared" si="27"/>
        <v>1</v>
      </c>
      <c r="AR128" s="19">
        <f t="shared" si="28"/>
        <v>1</v>
      </c>
      <c r="AS128" s="19">
        <f t="shared" si="29"/>
        <v>1</v>
      </c>
      <c r="AT128" s="19">
        <f t="shared" si="30"/>
        <v>1</v>
      </c>
      <c r="AU128" s="19">
        <f t="shared" si="31"/>
        <v>1</v>
      </c>
    </row>
    <row r="129" s="232" customFormat="1" spans="1:47">
      <c r="A129" s="279">
        <f ca="1">SUM($N$125:N129)</f>
        <v>3.80647652721865</v>
      </c>
      <c r="B129" s="19"/>
      <c r="C129" s="232">
        <v>6</v>
      </c>
      <c r="D129" s="86">
        <f ca="1" t="shared" si="38"/>
        <v>39.1172096562456</v>
      </c>
      <c r="E129" s="251">
        <f ca="1" t="shared" si="15"/>
        <v>2.82954346295083</v>
      </c>
      <c r="F129" s="285">
        <f ca="1" t="shared" si="32"/>
        <v>9.78854240991329</v>
      </c>
      <c r="G129" s="286">
        <f ca="1" t="shared" si="43"/>
        <v>27.6971061877871</v>
      </c>
      <c r="H129" s="287">
        <f ca="1" t="shared" si="33"/>
        <v>1.98937289697258</v>
      </c>
      <c r="I129" s="285">
        <f ca="1">SUM($J$125:J129)/SUM($H$125:H129)</f>
        <v>0.784909663375048</v>
      </c>
      <c r="J129" s="288">
        <f t="shared" si="39"/>
        <v>1.62614139131405</v>
      </c>
      <c r="K129" s="232">
        <f>K128+150</f>
        <v>1500</v>
      </c>
      <c r="L129" s="285">
        <f t="shared" si="34"/>
        <v>1.075</v>
      </c>
      <c r="M129" s="289">
        <f ca="1" t="shared" si="35"/>
        <v>1.785368</v>
      </c>
      <c r="N129" s="290">
        <f ca="1" t="shared" si="40"/>
        <v>0.363231505658523</v>
      </c>
      <c r="O129" s="289">
        <v>1.3</v>
      </c>
      <c r="P129" s="291">
        <f ca="1" t="shared" si="41"/>
        <v>7.22266666666667</v>
      </c>
      <c r="Q129" s="289">
        <f ca="1" t="shared" si="42"/>
        <v>1.37336</v>
      </c>
      <c r="R129" s="285">
        <f ca="1" t="shared" si="16"/>
        <v>0.16439067508198</v>
      </c>
      <c r="S129" s="292">
        <f ca="1" t="shared" si="17"/>
        <v>15.443663020257</v>
      </c>
      <c r="T129" s="226">
        <f ca="1">(1+OFFSET('玩法产出(新)'!$C$18,MATCH(X129,'玩法产出(新)'!$B$19:$B$25,0),1)*(1-V129)+OFFSET('玩法产出(新)'!$C$18,1+MATCH(X129,'玩法产出(新)'!$B$19:$B$25,0),1)*(V129))^AA129*(1+OFFSET('玩法产出(新)'!$C$18,MATCH(X129,'玩法产出(新)'!$B$19:$B$25,0),3)*(1-V129)+OFFSET('玩法产出(新)'!$C$18,1+MATCH(X129,'玩法产出(新)'!$B$19:$B$25,0),3)*(V129))^AB129*(1+OFFSET('玩法产出(新)'!$C$18,MATCH(X129,'玩法产出(新)'!$B$19:$B$25,0),4)*(1-V129)+OFFSET('玩法产出(新)'!$C$18,1+MATCH(X129,'玩法产出(新)'!$B$19:$B$25,0),4)*(V129))^AC129*(1+OFFSET('玩法产出(新)'!$C$18,MATCH(X129,'玩法产出(新)'!$B$19:$B$25,0),5)*(1+V129)+OFFSET('玩法产出(新)'!$C$18,1+MATCH(X129,'玩法产出(新)'!$B$19:$B$25,5),1)*(V129))^AD129*(1+OFFSET('玩法产出(新)'!$C$18,MATCH(X129,'玩法产出(新)'!$B$19:$B$25,0),6)*(1+V129)+OFFSET('玩法产出(新)'!$C$18,1+MATCH(X129,'玩法产出(新)'!$B$19:$B$25,0),6)*(V129))^AE129</f>
        <v>2.84310671334461</v>
      </c>
      <c r="U129" s="226">
        <f ca="1" t="shared" si="36"/>
        <v>0.84017056597826</v>
      </c>
      <c r="V129" s="289">
        <f ca="1">COUNTIF($X$124:$X129,X129)/(COUNTIF($X$124:$X$723,X129)+1)</f>
        <v>0.25</v>
      </c>
      <c r="W129" s="232">
        <v>24</v>
      </c>
      <c r="X129" s="232" t="str">
        <f ca="1" t="shared" si="18"/>
        <v>蓝</v>
      </c>
      <c r="Y129" s="232">
        <v>1640</v>
      </c>
      <c r="Z129" s="19">
        <f ca="1" t="shared" si="19"/>
        <v>1.275</v>
      </c>
      <c r="AA129" s="293">
        <f ca="1" t="shared" si="20"/>
        <v>21.917275</v>
      </c>
      <c r="AB129" s="293">
        <f ca="1" t="shared" si="21"/>
        <v>1.840625</v>
      </c>
      <c r="AC129" s="293">
        <f ca="1" t="shared" si="22"/>
        <v>0.2421</v>
      </c>
      <c r="AD129" s="293">
        <f ca="1" t="shared" si="23"/>
        <v>0</v>
      </c>
      <c r="AE129" s="293">
        <f ca="1" t="shared" si="24"/>
        <v>0</v>
      </c>
      <c r="AF129" s="232" t="str">
        <f t="shared" si="25"/>
        <v>橙</v>
      </c>
      <c r="AG129" s="232">
        <f>IFERROR(_xlfn.XLOOKUP(C129+1,[2]基因升级!$E$141:$E$500,[2]基因升级!$D$141:$D$500)-1,AG128)</f>
        <v>29</v>
      </c>
      <c r="AH129" s="232">
        <v>1</v>
      </c>
      <c r="AI129" s="232">
        <f t="shared" si="26"/>
        <v>1.99710703460112</v>
      </c>
      <c r="AJ129" s="19">
        <f t="shared" si="37"/>
        <v>0</v>
      </c>
      <c r="AK129" s="285">
        <v>1.14467592592593</v>
      </c>
      <c r="AQ129" s="232">
        <f t="shared" si="27"/>
        <v>1</v>
      </c>
      <c r="AR129" s="232">
        <f t="shared" si="28"/>
        <v>1</v>
      </c>
      <c r="AS129" s="232">
        <f t="shared" si="29"/>
        <v>1</v>
      </c>
      <c r="AT129" s="232">
        <f t="shared" si="30"/>
        <v>1</v>
      </c>
      <c r="AU129" s="232">
        <f t="shared" si="31"/>
        <v>1</v>
      </c>
    </row>
    <row r="130" spans="1:47">
      <c r="A130" s="279">
        <f ca="1">SUM($N$125:N130)</f>
        <v>4.16099504542789</v>
      </c>
      <c r="C130" s="19">
        <v>7</v>
      </c>
      <c r="D130" s="86">
        <f ca="1" t="shared" si="38"/>
        <v>41.3499345739507</v>
      </c>
      <c r="E130" s="251">
        <f ca="1" t="shared" si="15"/>
        <v>2.23272491770513</v>
      </c>
      <c r="F130" s="269">
        <f ca="1" t="shared" si="32"/>
        <v>13.0217985742673</v>
      </c>
      <c r="G130" s="283">
        <f ca="1" t="shared" si="43"/>
        <v>29.0740941501037</v>
      </c>
      <c r="H130" s="279">
        <f ca="1" t="shared" si="33"/>
        <v>1.37698796231655</v>
      </c>
      <c r="I130" s="269">
        <f ca="1">SUM($J$125:J130)/SUM($H$125:H130)</f>
        <v>0.781850974799488</v>
      </c>
      <c r="J130" s="284">
        <f t="shared" si="39"/>
        <v>1.02246944410731</v>
      </c>
      <c r="K130" s="19">
        <f t="shared" ref="K130:K193" si="44">K129+100</f>
        <v>1600</v>
      </c>
      <c r="L130" s="269">
        <f t="shared" si="34"/>
        <v>1.08</v>
      </c>
      <c r="M130" s="226">
        <f ca="1" t="shared" si="35"/>
        <v>1.82871</v>
      </c>
      <c r="N130" s="280">
        <f ca="1" t="shared" si="40"/>
        <v>0.354518518209238</v>
      </c>
      <c r="O130" s="226">
        <v>1.3</v>
      </c>
      <c r="P130" s="86">
        <f ca="1" t="shared" si="41"/>
        <v>7.77833333333333</v>
      </c>
      <c r="Q130" s="226">
        <f ca="1" t="shared" si="42"/>
        <v>1.4067</v>
      </c>
      <c r="R130" s="269">
        <f ca="1" t="shared" si="16"/>
        <v>0.173499600574877</v>
      </c>
      <c r="S130" s="266">
        <f ca="1" t="shared" si="17"/>
        <v>16.2993999756455</v>
      </c>
      <c r="T130" s="226">
        <f ca="1">(1+OFFSET('玩法产出(新)'!$C$18,MATCH(X130,'玩法产出(新)'!$B$19:$B$25,0),1)*(1-V130)+OFFSET('玩法产出(新)'!$C$18,1+MATCH(X130,'玩法产出(新)'!$B$19:$B$25,0),1)*(V130))^AA130*(1+OFFSET('玩法产出(新)'!$C$18,MATCH(X130,'玩法产出(新)'!$B$19:$B$25,0),3)*(1-V130)+OFFSET('玩法产出(新)'!$C$18,1+MATCH(X130,'玩法产出(新)'!$B$19:$B$25,0),3)*(V130))^AB130*(1+OFFSET('玩法产出(新)'!$C$18,MATCH(X130,'玩法产出(新)'!$B$19:$B$25,0),4)*(1-V130)+OFFSET('玩法产出(新)'!$C$18,1+MATCH(X130,'玩法产出(新)'!$B$19:$B$25,0),4)*(V130))^AC130*(1+OFFSET('玩法产出(新)'!$C$18,MATCH(X130,'玩法产出(新)'!$B$19:$B$25,0),5)*(1+V130)+OFFSET('玩法产出(新)'!$C$18,1+MATCH(X130,'玩法产出(新)'!$B$19:$B$25,5),1)*(V130))^AD130*(1+OFFSET('玩法产出(新)'!$C$18,MATCH(X130,'玩法产出(新)'!$B$19:$B$25,0),6)*(1+V130)+OFFSET('玩法产出(新)'!$C$18,1+MATCH(X130,'玩法产出(新)'!$B$19:$B$25,0),6)*(V130))^AE130</f>
        <v>3.01257553778651</v>
      </c>
      <c r="U130" s="226">
        <f ca="1" t="shared" si="36"/>
        <v>0.855736955388578</v>
      </c>
      <c r="V130" s="226">
        <f ca="1">COUNTIF($X$124:$X130,X130)/(COUNTIF($X$124:$X$723,X130)+1)</f>
        <v>0.3</v>
      </c>
      <c r="W130" s="19">
        <v>25</v>
      </c>
      <c r="X130" s="19" t="str">
        <f ca="1" t="shared" si="18"/>
        <v>蓝</v>
      </c>
      <c r="Y130" s="19">
        <v>1860</v>
      </c>
      <c r="Z130" s="19">
        <f ca="1" t="shared" si="19"/>
        <v>1.29</v>
      </c>
      <c r="AA130" s="282">
        <f ca="1" t="shared" si="20"/>
        <v>22.7636541666667</v>
      </c>
      <c r="AB130" s="282">
        <f ca="1" t="shared" si="21"/>
        <v>1.95989583333333</v>
      </c>
      <c r="AC130" s="282">
        <f ca="1" t="shared" si="22"/>
        <v>0.27645</v>
      </c>
      <c r="AD130" s="282">
        <f ca="1" t="shared" si="23"/>
        <v>0</v>
      </c>
      <c r="AE130" s="282">
        <f ca="1" t="shared" si="24"/>
        <v>0</v>
      </c>
      <c r="AF130" s="19" t="str">
        <f t="shared" si="25"/>
        <v>橙</v>
      </c>
      <c r="AG130" s="19">
        <f>IFERROR(_xlfn.XLOOKUP(C130+1,[2]基因升级!$E$141:$E$500,[2]基因升级!$D$141:$D$500)-1,AG129)</f>
        <v>30</v>
      </c>
      <c r="AH130" s="19">
        <v>1</v>
      </c>
      <c r="AI130" s="19">
        <f t="shared" si="26"/>
        <v>1.99710703460112</v>
      </c>
      <c r="AJ130" s="19">
        <f t="shared" si="37"/>
        <v>0</v>
      </c>
      <c r="AK130" s="269">
        <v>1.14467592592593</v>
      </c>
      <c r="AQ130" s="19">
        <f t="shared" si="27"/>
        <v>1</v>
      </c>
      <c r="AR130" s="19">
        <f t="shared" si="28"/>
        <v>1</v>
      </c>
      <c r="AS130" s="19">
        <f t="shared" si="29"/>
        <v>1</v>
      </c>
      <c r="AT130" s="19">
        <f t="shared" si="30"/>
        <v>1</v>
      </c>
      <c r="AU130" s="19">
        <f t="shared" si="31"/>
        <v>1</v>
      </c>
    </row>
    <row r="131" spans="1:47">
      <c r="A131" s="279">
        <f ca="1">SUM($N$125:N131)</f>
        <v>4.50720880710899</v>
      </c>
      <c r="C131" s="19">
        <v>8</v>
      </c>
      <c r="D131" s="86">
        <f ca="1" t="shared" si="38"/>
        <v>43.5098996567212</v>
      </c>
      <c r="E131" s="251">
        <f ca="1" t="shared" si="15"/>
        <v>2.15996508277053</v>
      </c>
      <c r="F131" s="269">
        <f ca="1" t="shared" si="32"/>
        <v>14.0671777868878</v>
      </c>
      <c r="G131" s="283">
        <f ca="1" t="shared" si="43"/>
        <v>30.3846128328028</v>
      </c>
      <c r="H131" s="279">
        <f ca="1" t="shared" si="33"/>
        <v>1.31051868269913</v>
      </c>
      <c r="I131" s="269">
        <f ca="1">SUM($J$125:J131)/SUM($H$125:H131)</f>
        <v>0.778891615745774</v>
      </c>
      <c r="J131" s="284">
        <f t="shared" si="39"/>
        <v>0.964304921018035</v>
      </c>
      <c r="K131" s="19">
        <f t="shared" si="44"/>
        <v>1700</v>
      </c>
      <c r="L131" s="269">
        <f t="shared" si="34"/>
        <v>1.085</v>
      </c>
      <c r="M131" s="226">
        <f ca="1" t="shared" si="35"/>
        <v>1.872052</v>
      </c>
      <c r="N131" s="280">
        <f ca="1" t="shared" si="40"/>
        <v>0.346213761681096</v>
      </c>
      <c r="O131" s="226">
        <v>1.3</v>
      </c>
      <c r="P131" s="86">
        <f ca="1" t="shared" si="41"/>
        <v>8.334</v>
      </c>
      <c r="Q131" s="226">
        <f ca="1" t="shared" si="42"/>
        <v>1.44004</v>
      </c>
      <c r="R131" s="269">
        <f ca="1" t="shared" si="16"/>
        <v>0.182541566005651</v>
      </c>
      <c r="S131" s="266">
        <f ca="1" t="shared" si="17"/>
        <v>17.1488463757169</v>
      </c>
      <c r="T131" s="226">
        <f ca="1">(1+OFFSET('玩法产出(新)'!$C$18,MATCH(X131,'玩法产出(新)'!$B$19:$B$25,0),1)*(1-V131)+OFFSET('玩法产出(新)'!$C$18,1+MATCH(X131,'玩法产出(新)'!$B$19:$B$25,0),1)*(V131))^AA131*(1+OFFSET('玩法产出(新)'!$C$18,MATCH(X131,'玩法产出(新)'!$B$19:$B$25,0),3)*(1-V131)+OFFSET('玩法产出(新)'!$C$18,1+MATCH(X131,'玩法产出(新)'!$B$19:$B$25,0),3)*(V131))^AB131*(1+OFFSET('玩法产出(新)'!$C$18,MATCH(X131,'玩法产出(新)'!$B$19:$B$25,0),4)*(1-V131)+OFFSET('玩法产出(新)'!$C$18,1+MATCH(X131,'玩法产出(新)'!$B$19:$B$25,0),4)*(V131))^AC131*(1+OFFSET('玩法产出(新)'!$C$18,MATCH(X131,'玩法产出(新)'!$B$19:$B$25,0),5)*(1+V131)+OFFSET('玩法产出(新)'!$C$18,1+MATCH(X131,'玩法产出(新)'!$B$19:$B$25,5),1)*(V131))^AD131*(1+OFFSET('玩法产出(新)'!$C$18,MATCH(X131,'玩法产出(新)'!$B$19:$B$25,0),6)*(1+V131)+OFFSET('玩法产出(新)'!$C$18,1+MATCH(X131,'玩法产出(新)'!$B$19:$B$25,0),6)*(V131))^AE131</f>
        <v>3.19078755466385</v>
      </c>
      <c r="U131" s="226">
        <f ca="1" t="shared" si="36"/>
        <v>0.849446400071397</v>
      </c>
      <c r="V131" s="226">
        <f ca="1">COUNTIF($X$124:$X131,X131)/(COUNTIF($X$124:$X$723,X131)+1)</f>
        <v>0.35</v>
      </c>
      <c r="W131" s="19">
        <v>26</v>
      </c>
      <c r="X131" s="19" t="str">
        <f ca="1" t="shared" si="18"/>
        <v>蓝</v>
      </c>
      <c r="Y131" s="19">
        <f t="shared" ref="Y131:Y194" si="45">Y130+100</f>
        <v>1960</v>
      </c>
      <c r="Z131" s="19">
        <f ca="1" t="shared" si="19"/>
        <v>1.305</v>
      </c>
      <c r="AA131" s="282">
        <f ca="1" t="shared" si="20"/>
        <v>23.6704083333333</v>
      </c>
      <c r="AB131" s="282">
        <f ca="1" t="shared" si="21"/>
        <v>2.03229166666667</v>
      </c>
      <c r="AC131" s="282">
        <f ca="1" t="shared" si="22"/>
        <v>0.2973</v>
      </c>
      <c r="AD131" s="282">
        <f ca="1" t="shared" si="23"/>
        <v>0</v>
      </c>
      <c r="AE131" s="282">
        <f ca="1" t="shared" si="24"/>
        <v>0</v>
      </c>
      <c r="AF131" s="19" t="str">
        <f t="shared" si="25"/>
        <v>橙</v>
      </c>
      <c r="AG131" s="19">
        <f>IFERROR(_xlfn.XLOOKUP(C131+1,[2]基因升级!$E$141:$E$500,[2]基因升级!$D$141:$D$500)-1,AG130)</f>
        <v>32</v>
      </c>
      <c r="AH131" s="19">
        <v>1</v>
      </c>
      <c r="AI131" s="19">
        <f t="shared" si="26"/>
        <v>1.99710703460112</v>
      </c>
      <c r="AJ131" s="19">
        <f t="shared" si="37"/>
        <v>0</v>
      </c>
      <c r="AK131" s="269">
        <v>1.14467592592593</v>
      </c>
      <c r="AQ131" s="19">
        <f t="shared" si="27"/>
        <v>1</v>
      </c>
      <c r="AR131" s="19">
        <f t="shared" si="28"/>
        <v>1</v>
      </c>
      <c r="AS131" s="19">
        <f t="shared" si="29"/>
        <v>1</v>
      </c>
      <c r="AT131" s="19">
        <f t="shared" si="30"/>
        <v>1</v>
      </c>
      <c r="AU131" s="19">
        <f t="shared" si="31"/>
        <v>1</v>
      </c>
    </row>
    <row r="132" spans="1:47">
      <c r="A132" s="279">
        <f ca="1">SUM($N$125:N132)</f>
        <v>4.84549800833344</v>
      </c>
      <c r="C132" s="19">
        <v>9</v>
      </c>
      <c r="D132" s="86">
        <f ca="1" t="shared" si="38"/>
        <v>48.0333740153897</v>
      </c>
      <c r="E132" s="251">
        <f ca="1" t="shared" si="15"/>
        <v>4.5234743586685</v>
      </c>
      <c r="F132" s="269">
        <f ca="1" t="shared" si="32"/>
        <v>6.99366454829007</v>
      </c>
      <c r="G132" s="283">
        <f ca="1" t="shared" si="43"/>
        <v>31.635662257319</v>
      </c>
      <c r="H132" s="279">
        <f ca="1" t="shared" si="33"/>
        <v>1.25104942451622</v>
      </c>
      <c r="I132" s="269">
        <f ca="1">SUM($J$125:J132)/SUM($H$125:H132)</f>
        <v>0.776041151377546</v>
      </c>
      <c r="J132" s="284">
        <f t="shared" si="39"/>
        <v>0.912760223291762</v>
      </c>
      <c r="K132" s="19">
        <f t="shared" si="44"/>
        <v>1800</v>
      </c>
      <c r="L132" s="269">
        <f t="shared" si="34"/>
        <v>1.09</v>
      </c>
      <c r="M132" s="226">
        <f ca="1" t="shared" si="35"/>
        <v>1.915394</v>
      </c>
      <c r="N132" s="280">
        <f ca="1" t="shared" si="40"/>
        <v>0.338289201224455</v>
      </c>
      <c r="O132" s="226">
        <v>1.3</v>
      </c>
      <c r="P132" s="294">
        <f ca="1" t="shared" si="41"/>
        <v>8.88966666666666</v>
      </c>
      <c r="Q132" s="226">
        <f ca="1" t="shared" si="42"/>
        <v>1.47338</v>
      </c>
      <c r="R132" s="269">
        <f ca="1" t="shared" si="16"/>
        <v>0.191742771042962</v>
      </c>
      <c r="S132" s="266">
        <f ca="1" t="shared" si="17"/>
        <v>18.0132525222678</v>
      </c>
      <c r="T132" s="226">
        <f ca="1">(1+OFFSET('玩法产出(新)'!$C$18,MATCH(X132,'玩法产出(新)'!$B$19:$B$25,0),1)*(1-V132)+OFFSET('玩法产出(新)'!$C$18,1+MATCH(X132,'玩法产出(新)'!$B$19:$B$25,0),1)*(V132))^AA132*(1+OFFSET('玩法产出(新)'!$C$18,MATCH(X132,'玩法产出(新)'!$B$19:$B$25,0),3)*(1-V132)+OFFSET('玩法产出(新)'!$C$18,1+MATCH(X132,'玩法产出(新)'!$B$19:$B$25,0),3)*(V132))^AB132*(1+OFFSET('玩法产出(新)'!$C$18,MATCH(X132,'玩法产出(新)'!$B$19:$B$25,0),4)*(1-V132)+OFFSET('玩法产出(新)'!$C$18,1+MATCH(X132,'玩法产出(新)'!$B$19:$B$25,0),4)*(V132))^AC132*(1+OFFSET('玩法产出(新)'!$C$18,MATCH(X132,'玩法产出(新)'!$B$19:$B$25,0),5)*(1+V132)+OFFSET('玩法产出(新)'!$C$18,1+MATCH(X132,'玩法产出(新)'!$B$19:$B$25,5),1)*(V132))^AD132*(1+OFFSET('玩法产出(新)'!$C$18,MATCH(X132,'玩法产出(新)'!$B$19:$B$25,0),6)*(1+V132)+OFFSET('玩法产出(新)'!$C$18,1+MATCH(X132,'玩法产出(新)'!$B$19:$B$25,0),6)*(V132))^AE132</f>
        <v>3.38296424348794</v>
      </c>
      <c r="U132" s="226">
        <f ca="1" t="shared" si="36"/>
        <v>0.86440614655087</v>
      </c>
      <c r="V132" s="226">
        <f ca="1">COUNTIF($X$124:$X132,X132)/(COUNTIF($X$124:$X$723,X132)+1)</f>
        <v>0.4</v>
      </c>
      <c r="W132" s="19">
        <v>27</v>
      </c>
      <c r="X132" s="19" t="str">
        <f ca="1" t="shared" si="18"/>
        <v>蓝</v>
      </c>
      <c r="Y132" s="19">
        <f t="shared" si="45"/>
        <v>2060</v>
      </c>
      <c r="Z132" s="19">
        <f ca="1" t="shared" si="19"/>
        <v>1.32</v>
      </c>
      <c r="AA132" s="282">
        <f ca="1" t="shared" si="20"/>
        <v>24.5771625</v>
      </c>
      <c r="AB132" s="282">
        <f ca="1" t="shared" si="21"/>
        <v>2.1046875</v>
      </c>
      <c r="AC132" s="282">
        <f ca="1" t="shared" si="22"/>
        <v>0.31815</v>
      </c>
      <c r="AD132" s="282">
        <f ca="1" t="shared" si="23"/>
        <v>0</v>
      </c>
      <c r="AE132" s="282">
        <f ca="1" t="shared" si="24"/>
        <v>0</v>
      </c>
      <c r="AF132" s="19" t="str">
        <f t="shared" si="25"/>
        <v>橙</v>
      </c>
      <c r="AG132" s="19">
        <f>IFERROR(_xlfn.XLOOKUP(C132+1,[2]基因升级!$E$141:$E$500,[2]基因升级!$D$141:$D$500)-1,AG131)</f>
        <v>33</v>
      </c>
      <c r="AH132" s="19">
        <v>2</v>
      </c>
      <c r="AI132" s="19">
        <f t="shared" si="26"/>
        <v>4.40512582220253</v>
      </c>
      <c r="AJ132" s="19">
        <f t="shared" si="37"/>
        <v>2.40801878760141</v>
      </c>
      <c r="AK132" s="269">
        <v>1.34722222222222</v>
      </c>
      <c r="AQ132" s="19">
        <f t="shared" si="27"/>
        <v>1</v>
      </c>
      <c r="AR132" s="19">
        <f t="shared" si="28"/>
        <v>1</v>
      </c>
      <c r="AS132" s="19">
        <f t="shared" si="29"/>
        <v>1</v>
      </c>
      <c r="AT132" s="19">
        <f t="shared" si="30"/>
        <v>1</v>
      </c>
      <c r="AU132" s="19">
        <f t="shared" si="31"/>
        <v>1</v>
      </c>
    </row>
    <row r="133" spans="1:47">
      <c r="A133" s="279">
        <f ca="1">SUM($N$125:N133)</f>
        <v>5.17621732000062</v>
      </c>
      <c r="C133" s="19">
        <v>10</v>
      </c>
      <c r="D133" s="86">
        <f ca="1" t="shared" si="38"/>
        <v>50.1102084437142</v>
      </c>
      <c r="E133" s="251">
        <f ca="1" t="shared" si="15"/>
        <v>2.07683442832446</v>
      </c>
      <c r="F133" s="269">
        <f ca="1" t="shared" si="32"/>
        <v>15.8092249801958</v>
      </c>
      <c r="G133" s="283">
        <f ca="1" t="shared" si="43"/>
        <v>32.8331427239978</v>
      </c>
      <c r="H133" s="279">
        <f ca="1" t="shared" si="33"/>
        <v>1.19748046667877</v>
      </c>
      <c r="I133" s="269">
        <f ca="1">SUM($J$125:J133)/SUM($H$125:H133)</f>
        <v>0.773302458510874</v>
      </c>
      <c r="J133" s="284">
        <f t="shared" si="39"/>
        <v>0.866761155011595</v>
      </c>
      <c r="K133" s="19">
        <f t="shared" si="44"/>
        <v>1900</v>
      </c>
      <c r="L133" s="269">
        <f t="shared" si="34"/>
        <v>1.095</v>
      </c>
      <c r="M133" s="226">
        <f ca="1" t="shared" si="35"/>
        <v>1.958736</v>
      </c>
      <c r="N133" s="280">
        <f ca="1" t="shared" si="40"/>
        <v>0.330719311667174</v>
      </c>
      <c r="O133" s="226">
        <v>1.3</v>
      </c>
      <c r="P133" s="86">
        <f ca="1" t="shared" si="41"/>
        <v>9.44533333333333</v>
      </c>
      <c r="Q133" s="226">
        <f ca="1" t="shared" si="42"/>
        <v>1.50672</v>
      </c>
      <c r="R133" s="269">
        <f ca="1" t="shared" si="16"/>
        <v>0.201103088682717</v>
      </c>
      <c r="S133" s="266">
        <f ca="1" t="shared" si="17"/>
        <v>18.8926064839135</v>
      </c>
      <c r="T133" s="226">
        <f ca="1">(1+OFFSET('玩法产出(新)'!$C$18,MATCH(X133,'玩法产出(新)'!$B$19:$B$25,0),1)*(1-V133)+OFFSET('玩法产出(新)'!$C$18,1+MATCH(X133,'玩法产出(新)'!$B$19:$B$25,0),1)*(V133))^AA133*(1+OFFSET('玩法产出(新)'!$C$18,MATCH(X133,'玩法产出(新)'!$B$19:$B$25,0),3)*(1-V133)+OFFSET('玩法产出(新)'!$C$18,1+MATCH(X133,'玩法产出(新)'!$B$19:$B$25,0),3)*(V133))^AB133*(1+OFFSET('玩法产出(新)'!$C$18,MATCH(X133,'玩法产出(新)'!$B$19:$B$25,0),4)*(1-V133)+OFFSET('玩法产出(新)'!$C$18,1+MATCH(X133,'玩法产出(新)'!$B$19:$B$25,0),4)*(V133))^AC133*(1+OFFSET('玩法产出(新)'!$C$18,MATCH(X133,'玩法产出(新)'!$B$19:$B$25,0),5)*(1+V133)+OFFSET('玩法产出(新)'!$C$18,1+MATCH(X133,'玩法产出(新)'!$B$19:$B$25,5),1)*(V133))^AD133*(1+OFFSET('玩法产出(新)'!$C$18,MATCH(X133,'玩法产出(新)'!$B$19:$B$25,0),6)*(1+V133)+OFFSET('玩法产出(新)'!$C$18,1+MATCH(X133,'玩法产出(新)'!$B$19:$B$25,0),6)*(V133))^AE133</f>
        <v>3.5903447224226</v>
      </c>
      <c r="U133" s="226">
        <f ca="1" t="shared" si="36"/>
        <v>0.879353961645692</v>
      </c>
      <c r="V133" s="226">
        <f ca="1">COUNTIF($X$124:$X133,X133)/(COUNTIF($X$124:$X$723,X133)+1)</f>
        <v>0.45</v>
      </c>
      <c r="W133" s="19">
        <v>28</v>
      </c>
      <c r="X133" s="19" t="str">
        <f ca="1" t="shared" si="18"/>
        <v>蓝</v>
      </c>
      <c r="Y133" s="19">
        <f t="shared" si="45"/>
        <v>2160</v>
      </c>
      <c r="Z133" s="19">
        <f ca="1" t="shared" si="19"/>
        <v>1.335</v>
      </c>
      <c r="AA133" s="282">
        <f ca="1" t="shared" si="20"/>
        <v>25.4839166666667</v>
      </c>
      <c r="AB133" s="282">
        <f ca="1" t="shared" si="21"/>
        <v>2.17708333333333</v>
      </c>
      <c r="AC133" s="282">
        <f ca="1" t="shared" si="22"/>
        <v>0.339</v>
      </c>
      <c r="AD133" s="282">
        <f ca="1" t="shared" si="23"/>
        <v>0</v>
      </c>
      <c r="AE133" s="282">
        <f ca="1" t="shared" si="24"/>
        <v>0</v>
      </c>
      <c r="AF133" s="19" t="str">
        <f t="shared" si="25"/>
        <v>橙</v>
      </c>
      <c r="AG133" s="19">
        <f>IFERROR(_xlfn.XLOOKUP(C133+1,[2]基因升级!$E$141:$E$500,[2]基因升级!$D$141:$D$500)-1,AG132)</f>
        <v>34</v>
      </c>
      <c r="AH133" s="19">
        <v>2</v>
      </c>
      <c r="AI133" s="19">
        <f t="shared" si="26"/>
        <v>4.40512582220253</v>
      </c>
      <c r="AJ133" s="19">
        <f t="shared" si="37"/>
        <v>0</v>
      </c>
      <c r="AK133" s="269">
        <v>1.34722222222222</v>
      </c>
      <c r="AQ133" s="19">
        <f t="shared" si="27"/>
        <v>1</v>
      </c>
      <c r="AR133" s="19">
        <f t="shared" si="28"/>
        <v>1</v>
      </c>
      <c r="AS133" s="19">
        <f t="shared" si="29"/>
        <v>1</v>
      </c>
      <c r="AT133" s="19">
        <f t="shared" si="30"/>
        <v>1</v>
      </c>
      <c r="AU133" s="19">
        <f t="shared" si="31"/>
        <v>1</v>
      </c>
    </row>
    <row r="134" spans="1:47">
      <c r="A134" s="279">
        <f ca="1">SUM($N$125:N134)</f>
        <v>5.49969812281907</v>
      </c>
      <c r="C134" s="19">
        <v>11</v>
      </c>
      <c r="D134" s="86">
        <f ca="1" t="shared" si="38"/>
        <v>52.1534332418401</v>
      </c>
      <c r="E134" s="251">
        <f ca="1" t="shared" si="15"/>
        <v>2.04322479812592</v>
      </c>
      <c r="F134" s="269">
        <f ca="1" t="shared" si="32"/>
        <v>16.6315902634003</v>
      </c>
      <c r="G134" s="283">
        <f ca="1" t="shared" si="43"/>
        <v>33.9820776584492</v>
      </c>
      <c r="H134" s="279">
        <f ca="1" t="shared" si="33"/>
        <v>1.14893493445139</v>
      </c>
      <c r="I134" s="269">
        <f ca="1">SUM($J$125:J134)/SUM($H$125:H134)</f>
        <v>0.770674659587658</v>
      </c>
      <c r="J134" s="284">
        <f t="shared" si="39"/>
        <v>0.825454131632942</v>
      </c>
      <c r="K134" s="19">
        <f t="shared" si="44"/>
        <v>2000</v>
      </c>
      <c r="L134" s="269">
        <f t="shared" si="34"/>
        <v>1.1</v>
      </c>
      <c r="M134" s="226">
        <f ca="1" t="shared" si="35"/>
        <v>2.002078</v>
      </c>
      <c r="N134" s="280">
        <f ca="1" t="shared" si="40"/>
        <v>0.323480802818453</v>
      </c>
      <c r="O134" s="226">
        <v>1.3</v>
      </c>
      <c r="P134" s="86">
        <f ca="1" t="shared" si="41"/>
        <v>10.001</v>
      </c>
      <c r="Q134" s="226">
        <f ca="1" t="shared" si="42"/>
        <v>1.54006</v>
      </c>
      <c r="R134" s="269">
        <f ca="1" t="shared" si="16"/>
        <v>0.21062239211582</v>
      </c>
      <c r="S134" s="266">
        <f ca="1" t="shared" si="17"/>
        <v>19.786896347588</v>
      </c>
      <c r="T134" s="226">
        <f ca="1">(1+OFFSET('玩法产出(新)'!$C$18,MATCH(X134,'玩法产出(新)'!$B$19:$B$25,0),1)*(1-V134)+OFFSET('玩法产出(新)'!$C$18,1+MATCH(X134,'玩法产出(新)'!$B$19:$B$25,0),1)*(V134))^AA134*(1+OFFSET('玩法产出(新)'!$C$18,MATCH(X134,'玩法产出(新)'!$B$19:$B$25,0),3)*(1-V134)+OFFSET('玩法产出(新)'!$C$18,1+MATCH(X134,'玩法产出(新)'!$B$19:$B$25,0),3)*(V134))^AB134*(1+OFFSET('玩法产出(新)'!$C$18,MATCH(X134,'玩法产出(新)'!$B$19:$B$25,0),4)*(1-V134)+OFFSET('玩法产出(新)'!$C$18,1+MATCH(X134,'玩法产出(新)'!$B$19:$B$25,0),4)*(V134))^AC134*(1+OFFSET('玩法产出(新)'!$C$18,MATCH(X134,'玩法产出(新)'!$B$19:$B$25,0),5)*(1+V134)+OFFSET('玩法产出(新)'!$C$18,1+MATCH(X134,'玩法产出(新)'!$B$19:$B$25,5),1)*(V134))^AD134*(1+OFFSET('玩法产出(新)'!$C$18,MATCH(X134,'玩法产出(新)'!$B$19:$B$25,0),6)*(1+V134)+OFFSET('玩法产出(新)'!$C$18,1+MATCH(X134,'玩法产出(新)'!$B$19:$B$25,0),6)*(V134))^AE134</f>
        <v>3.81429047458736</v>
      </c>
      <c r="U134" s="226">
        <f ca="1" t="shared" si="36"/>
        <v>0.894289863674528</v>
      </c>
      <c r="V134" s="226">
        <f ca="1">COUNTIF($X$124:$X134,X134)/(COUNTIF($X$124:$X$723,X134)+1)</f>
        <v>0.5</v>
      </c>
      <c r="W134" s="19">
        <v>29</v>
      </c>
      <c r="X134" s="19" t="str">
        <f ca="1" t="shared" si="18"/>
        <v>蓝</v>
      </c>
      <c r="Y134" s="19">
        <f t="shared" si="45"/>
        <v>2260</v>
      </c>
      <c r="Z134" s="19">
        <f ca="1" t="shared" si="19"/>
        <v>1.35</v>
      </c>
      <c r="AA134" s="282">
        <f ca="1" t="shared" si="20"/>
        <v>26.3906708333333</v>
      </c>
      <c r="AB134" s="282">
        <f ca="1" t="shared" si="21"/>
        <v>2.24947916666667</v>
      </c>
      <c r="AC134" s="282">
        <f ca="1" t="shared" si="22"/>
        <v>0.35985</v>
      </c>
      <c r="AD134" s="282">
        <f ca="1" t="shared" si="23"/>
        <v>0</v>
      </c>
      <c r="AE134" s="282">
        <f ca="1" t="shared" si="24"/>
        <v>0</v>
      </c>
      <c r="AF134" s="19" t="str">
        <f t="shared" si="25"/>
        <v>橙</v>
      </c>
      <c r="AG134" s="19">
        <f>IFERROR(_xlfn.XLOOKUP(C134+1,[2]基因升级!$E$141:$E$500,[2]基因升级!$D$141:$D$500)-1,AG133)</f>
        <v>36</v>
      </c>
      <c r="AH134" s="19">
        <v>2</v>
      </c>
      <c r="AI134" s="19">
        <f t="shared" si="26"/>
        <v>4.40512582220253</v>
      </c>
      <c r="AJ134" s="19">
        <f t="shared" si="37"/>
        <v>0</v>
      </c>
      <c r="AK134" s="269">
        <v>1.34722222222222</v>
      </c>
      <c r="AQ134" s="19">
        <f t="shared" si="27"/>
        <v>1</v>
      </c>
      <c r="AR134" s="19">
        <f t="shared" si="28"/>
        <v>1</v>
      </c>
      <c r="AS134" s="19">
        <f t="shared" si="29"/>
        <v>1</v>
      </c>
      <c r="AT134" s="19">
        <f t="shared" si="30"/>
        <v>1</v>
      </c>
      <c r="AU134" s="19">
        <f t="shared" si="31"/>
        <v>1</v>
      </c>
    </row>
    <row r="135" spans="1:47">
      <c r="A135" s="279">
        <f ca="1">SUM($N$125:N135)</f>
        <v>5.6904419470975</v>
      </c>
      <c r="C135" s="19">
        <v>12</v>
      </c>
      <c r="D135" s="86">
        <f ca="1" t="shared" si="38"/>
        <v>54.0415432359258</v>
      </c>
      <c r="E135" s="251">
        <f ca="1" t="shared" si="15"/>
        <v>1.88810999408574</v>
      </c>
      <c r="F135" s="269">
        <f ca="1" t="shared" si="32"/>
        <v>18.5163861698387</v>
      </c>
      <c r="G135" s="283">
        <f ca="1" t="shared" si="43"/>
        <v>34.9609737816235</v>
      </c>
      <c r="H135" s="279">
        <f ca="1" t="shared" si="33"/>
        <v>0.97889612317428</v>
      </c>
      <c r="I135" s="269">
        <f ca="1">SUM($J$125:J135)/SUM($H$125:H135)</f>
        <v>0.772026444285324</v>
      </c>
      <c r="J135" s="284">
        <f t="shared" si="39"/>
        <v>0.788152298895849</v>
      </c>
      <c r="K135" s="19">
        <f t="shared" si="44"/>
        <v>2100</v>
      </c>
      <c r="L135" s="269">
        <f t="shared" si="34"/>
        <v>1.105</v>
      </c>
      <c r="M135" s="226">
        <f ca="1" t="shared" si="35"/>
        <v>2.0280832</v>
      </c>
      <c r="N135" s="280">
        <f ca="1" t="shared" si="40"/>
        <v>0.190743824278431</v>
      </c>
      <c r="O135" s="226">
        <v>1.3</v>
      </c>
      <c r="P135" s="86">
        <f ca="1" t="shared" si="41"/>
        <v>10.3344</v>
      </c>
      <c r="Q135" s="226">
        <f ca="1" t="shared" si="42"/>
        <v>1.560064</v>
      </c>
      <c r="R135" s="269">
        <f ca="1" t="shared" si="16"/>
        <v>0.220300554727695</v>
      </c>
      <c r="S135" s="266">
        <f ca="1" t="shared" si="17"/>
        <v>20.6961102184995</v>
      </c>
      <c r="T135" s="226">
        <f ca="1">(1+OFFSET('玩法产出(新)'!$C$18,MATCH(X135,'玩法产出(新)'!$B$19:$B$25,0),1)*(1-V135)+OFFSET('玩法产出(新)'!$C$18,1+MATCH(X135,'玩法产出(新)'!$B$19:$B$25,0),1)*(V135))^AA135*(1+OFFSET('玩法产出(新)'!$C$18,MATCH(X135,'玩法产出(新)'!$B$19:$B$25,0),3)*(1-V135)+OFFSET('玩法产出(新)'!$C$18,1+MATCH(X135,'玩法产出(新)'!$B$19:$B$25,0),3)*(V135))^AB135*(1+OFFSET('玩法产出(新)'!$C$18,MATCH(X135,'玩法产出(新)'!$B$19:$B$25,0),4)*(1-V135)+OFFSET('玩法产出(新)'!$C$18,1+MATCH(X135,'玩法产出(新)'!$B$19:$B$25,0),4)*(V135))^AC135*(1+OFFSET('玩法产出(新)'!$C$18,MATCH(X135,'玩法产出(新)'!$B$19:$B$25,0),5)*(1+V135)+OFFSET('玩法产出(新)'!$C$18,1+MATCH(X135,'玩法产出(新)'!$B$19:$B$25,5),1)*(V135))^AD135*(1+OFFSET('玩法产出(新)'!$C$18,MATCH(X135,'玩法产出(新)'!$B$19:$B$25,0),6)*(1+V135)+OFFSET('玩法产出(新)'!$C$18,1+MATCH(X135,'玩法产出(新)'!$B$19:$B$25,0),6)*(V135))^AE135</f>
        <v>4.05629845048599</v>
      </c>
      <c r="U135" s="226">
        <f ca="1" t="shared" si="36"/>
        <v>0.909213870911462</v>
      </c>
      <c r="V135" s="226">
        <f ca="1">COUNTIF($X$124:$X135,X135)/(COUNTIF($X$124:$X$723,X135)+1)</f>
        <v>0.55</v>
      </c>
      <c r="W135" s="19">
        <v>30</v>
      </c>
      <c r="X135" s="19" t="str">
        <f ca="1" t="shared" si="18"/>
        <v>蓝</v>
      </c>
      <c r="Y135" s="19">
        <f t="shared" si="45"/>
        <v>2360</v>
      </c>
      <c r="Z135" s="19">
        <f ca="1" t="shared" si="19"/>
        <v>1.365</v>
      </c>
      <c r="AA135" s="282">
        <f ca="1" t="shared" si="20"/>
        <v>27.297425</v>
      </c>
      <c r="AB135" s="282">
        <f ca="1" t="shared" si="21"/>
        <v>2.321875</v>
      </c>
      <c r="AC135" s="282">
        <f ca="1" t="shared" si="22"/>
        <v>0.3807</v>
      </c>
      <c r="AD135" s="282">
        <f ca="1" t="shared" si="23"/>
        <v>0</v>
      </c>
      <c r="AE135" s="282">
        <f ca="1" t="shared" si="24"/>
        <v>0</v>
      </c>
      <c r="AF135" s="19" t="str">
        <f t="shared" si="25"/>
        <v>橙</v>
      </c>
      <c r="AG135" s="19">
        <f>IFERROR(_xlfn.XLOOKUP(C135+1,[2]基因升级!$E$141:$E$500,[2]基因升级!$D$141:$D$500)-1,AG134)</f>
        <v>37</v>
      </c>
      <c r="AH135" s="19">
        <v>2</v>
      </c>
      <c r="AI135" s="19">
        <f t="shared" si="26"/>
        <v>4.40512582220253</v>
      </c>
      <c r="AJ135" s="19">
        <f t="shared" si="37"/>
        <v>0</v>
      </c>
      <c r="AK135" s="269">
        <v>1.34722222222222</v>
      </c>
      <c r="AQ135" s="19">
        <f t="shared" si="27"/>
        <v>1</v>
      </c>
      <c r="AR135" s="19">
        <f t="shared" si="28"/>
        <v>1</v>
      </c>
      <c r="AS135" s="19">
        <f t="shared" si="29"/>
        <v>1</v>
      </c>
      <c r="AT135" s="19">
        <f t="shared" si="30"/>
        <v>1</v>
      </c>
      <c r="AU135" s="19">
        <f t="shared" si="31"/>
        <v>1</v>
      </c>
    </row>
    <row r="136" spans="1:47">
      <c r="A136" s="279">
        <f ca="1">SUM($N$125:N136)</f>
        <v>5.87875546375665</v>
      </c>
      <c r="C136" s="19">
        <v>13</v>
      </c>
      <c r="D136" s="86">
        <f ca="1" t="shared" si="38"/>
        <v>55.2435696803572</v>
      </c>
      <c r="E136" s="251">
        <f ca="1" t="shared" si="15"/>
        <v>1.20202644443133</v>
      </c>
      <c r="F136" s="269">
        <f ca="1" t="shared" si="32"/>
        <v>29.8692130903141</v>
      </c>
      <c r="G136" s="283">
        <f ca="1" t="shared" si="43"/>
        <v>35.9035840089119</v>
      </c>
      <c r="H136" s="279">
        <f ca="1" t="shared" si="33"/>
        <v>0.942610227288398</v>
      </c>
      <c r="I136" s="269">
        <f ca="1">SUM($J$125:J136)/SUM($H$125:H136)</f>
        <v>0.773052429280283</v>
      </c>
      <c r="J136" s="284">
        <f t="shared" si="39"/>
        <v>0.754296710629252</v>
      </c>
      <c r="K136" s="19">
        <f t="shared" si="44"/>
        <v>2200</v>
      </c>
      <c r="L136" s="269">
        <f t="shared" si="34"/>
        <v>1.11</v>
      </c>
      <c r="M136" s="226">
        <f ca="1" t="shared" si="35"/>
        <v>2.0540884</v>
      </c>
      <c r="N136" s="280">
        <f ca="1" t="shared" si="40"/>
        <v>0.188313516659147</v>
      </c>
      <c r="O136" s="226">
        <v>1.3</v>
      </c>
      <c r="P136" s="86">
        <f ca="1" t="shared" si="41"/>
        <v>10.6678</v>
      </c>
      <c r="Q136" s="226">
        <f ca="1" t="shared" si="42"/>
        <v>1.580068</v>
      </c>
      <c r="R136" s="269">
        <f ca="1" t="shared" si="16"/>
        <v>0.223061920797869</v>
      </c>
      <c r="S136" s="266">
        <f ca="1" t="shared" si="17"/>
        <v>20.9555264356424</v>
      </c>
      <c r="T136" s="226">
        <f ca="1">(1+OFFSET('玩法产出(新)'!$C$18,MATCH(X136,'玩法产出(新)'!$B$19:$B$25,0),1)*(1-V136)+OFFSET('玩法产出(新)'!$C$18,1+MATCH(X136,'玩法产出(新)'!$B$19:$B$25,0),1)*(V136))^AA136*(1+OFFSET('玩法产出(新)'!$C$18,MATCH(X136,'玩法产出(新)'!$B$19:$B$25,0),3)*(1-V136)+OFFSET('玩法产出(新)'!$C$18,1+MATCH(X136,'玩法产出(新)'!$B$19:$B$25,0),3)*(V136))^AB136*(1+OFFSET('玩法产出(新)'!$C$18,MATCH(X136,'玩法产出(新)'!$B$19:$B$25,0),4)*(1-V136)+OFFSET('玩法产出(新)'!$C$18,1+MATCH(X136,'玩法产出(新)'!$B$19:$B$25,0),4)*(V136))^AC136*(1+OFFSET('玩法产出(新)'!$C$18,MATCH(X136,'玩法产出(新)'!$B$19:$B$25,0),5)*(1+V136)+OFFSET('玩法产出(新)'!$C$18,1+MATCH(X136,'玩法产出(新)'!$B$19:$B$25,5),1)*(V136))^AD136*(1+OFFSET('玩法产出(新)'!$C$18,MATCH(X136,'玩法产出(新)'!$B$19:$B$25,0),6)*(1+V136)+OFFSET('玩法产出(新)'!$C$18,1+MATCH(X136,'玩法产出(新)'!$B$19:$B$25,0),6)*(V136))^AE136</f>
        <v>4.12812206062872</v>
      </c>
      <c r="U136" s="226">
        <f ca="1" t="shared" si="36"/>
        <v>0.259416217142927</v>
      </c>
      <c r="V136" s="226">
        <f ca="1">COUNTIF($X$124:$X136,X136)/(COUNTIF($X$124:$X$723,X136)+1)</f>
        <v>0.6</v>
      </c>
      <c r="W136" s="19">
        <v>30</v>
      </c>
      <c r="X136" s="19" t="str">
        <f ca="1" t="shared" si="18"/>
        <v>蓝</v>
      </c>
      <c r="Y136" s="19">
        <f t="shared" si="45"/>
        <v>2460</v>
      </c>
      <c r="Z136" s="19">
        <f ca="1" t="shared" si="19"/>
        <v>1.38</v>
      </c>
      <c r="AA136" s="282">
        <f ca="1" t="shared" si="20"/>
        <v>27.2041791666667</v>
      </c>
      <c r="AB136" s="282">
        <f ca="1" t="shared" si="21"/>
        <v>2.39427083333333</v>
      </c>
      <c r="AC136" s="282">
        <f ca="1" t="shared" si="22"/>
        <v>0.40155</v>
      </c>
      <c r="AD136" s="282">
        <f ca="1" t="shared" si="23"/>
        <v>0</v>
      </c>
      <c r="AE136" s="282">
        <f ca="1" t="shared" si="24"/>
        <v>0</v>
      </c>
      <c r="AF136" s="19" t="str">
        <f t="shared" si="25"/>
        <v>橙</v>
      </c>
      <c r="AG136" s="19">
        <f>IFERROR(_xlfn.XLOOKUP(C136+1,[2]基因升级!$E$141:$E$500,[2]基因升级!$D$141:$D$500)-1,AG135)</f>
        <v>38</v>
      </c>
      <c r="AH136" s="19">
        <v>2</v>
      </c>
      <c r="AI136" s="19">
        <f t="shared" si="26"/>
        <v>4.40512582220253</v>
      </c>
      <c r="AJ136" s="19">
        <f t="shared" si="37"/>
        <v>0</v>
      </c>
      <c r="AK136" s="269">
        <v>1.34722222222222</v>
      </c>
      <c r="AQ136" s="19">
        <f t="shared" si="27"/>
        <v>1</v>
      </c>
      <c r="AR136" s="19">
        <f t="shared" si="28"/>
        <v>1</v>
      </c>
      <c r="AS136" s="19">
        <f t="shared" si="29"/>
        <v>1</v>
      </c>
      <c r="AT136" s="19">
        <f t="shared" si="30"/>
        <v>1</v>
      </c>
      <c r="AU136" s="19">
        <f t="shared" si="31"/>
        <v>1</v>
      </c>
    </row>
    <row r="137" spans="1:47">
      <c r="A137" s="279">
        <f ca="1">SUM($N$125:N137)</f>
        <v>7.614163702427</v>
      </c>
      <c r="C137" s="19">
        <v>14</v>
      </c>
      <c r="D137" s="86">
        <f ca="1" t="shared" si="38"/>
        <v>57.9625955653609</v>
      </c>
      <c r="E137" s="251">
        <f ca="1" t="shared" si="15"/>
        <v>2.71902588500375</v>
      </c>
      <c r="F137" s="269">
        <f ca="1" t="shared" si="32"/>
        <v>14.1088837484814</v>
      </c>
      <c r="G137" s="283">
        <f ca="1" t="shared" si="43"/>
        <v>38.3624201206296</v>
      </c>
      <c r="H137" s="279">
        <f ca="1" t="shared" si="33"/>
        <v>2.45883611171774</v>
      </c>
      <c r="I137" s="269">
        <f ca="1">SUM($J$125:J137)/SUM($H$125:H137)</f>
        <v>0.731540409103213</v>
      </c>
      <c r="J137" s="284">
        <f t="shared" si="39"/>
        <v>0.723427873047392</v>
      </c>
      <c r="K137" s="19">
        <f t="shared" si="44"/>
        <v>2300</v>
      </c>
      <c r="L137" s="269">
        <f t="shared" si="34"/>
        <v>1.115</v>
      </c>
      <c r="M137" s="226">
        <f ca="1" t="shared" si="35"/>
        <v>2.31</v>
      </c>
      <c r="N137" s="280">
        <f ca="1" t="shared" si="40"/>
        <v>1.73540823867035</v>
      </c>
      <c r="O137" s="226">
        <v>1.65</v>
      </c>
      <c r="P137" s="295">
        <f ca="1" t="shared" ref="P137:P182" si="46">IF(O137=O136,P136+OFFSET($H$75,MATCH(P136,$G$76:$G$84,1),0),5)</f>
        <v>5</v>
      </c>
      <c r="Q137" s="226">
        <f ca="1" t="shared" ref="Q137:Q200" si="47">_xlfn.XLOOKUP(O137,$D$76:$D$95,$E$76:$E$95)*(P137-1)+1</f>
        <v>1.4</v>
      </c>
      <c r="R137" s="269">
        <f ca="1" t="shared" si="16"/>
        <v>0.225831521016665</v>
      </c>
      <c r="S137" s="266">
        <f ca="1" t="shared" si="17"/>
        <v>21.2157162089284</v>
      </c>
      <c r="T137" s="226">
        <f ca="1">(1+OFFSET('玩法产出(新)'!$C$18,MATCH(X137,'玩法产出(新)'!$B$19:$B$25,0),1)*(1-V137)+OFFSET('玩法产出(新)'!$C$18,1+MATCH(X137,'玩法产出(新)'!$B$19:$B$25,0),1)*(V137))^AA137*(1+OFFSET('玩法产出(新)'!$C$18,MATCH(X137,'玩法产出(新)'!$B$19:$B$25,0),3)*(1-V137)+OFFSET('玩法产出(新)'!$C$18,1+MATCH(X137,'玩法产出(新)'!$B$19:$B$25,0),3)*(V137))^AB137*(1+OFFSET('玩法产出(新)'!$C$18,MATCH(X137,'玩法产出(新)'!$B$19:$B$25,0),4)*(1-V137)+OFFSET('玩法产出(新)'!$C$18,1+MATCH(X137,'玩法产出(新)'!$B$19:$B$25,0),4)*(V137))^AC137*(1+OFFSET('玩法产出(新)'!$C$18,MATCH(X137,'玩法产出(新)'!$B$19:$B$25,0),5)*(1+V137)+OFFSET('玩法产出(新)'!$C$18,1+MATCH(X137,'玩法产出(新)'!$B$19:$B$25,5),1)*(V137))^AD137*(1+OFFSET('玩法产出(新)'!$C$18,MATCH(X137,'玩法产出(新)'!$B$19:$B$25,0),6)*(1+V137)+OFFSET('玩法产出(新)'!$C$18,1+MATCH(X137,'玩法产出(新)'!$B$19:$B$25,0),6)*(V137))^AE137</f>
        <v>4.20143731708734</v>
      </c>
      <c r="U137" s="226">
        <f ca="1" t="shared" si="36"/>
        <v>0.260189773286009</v>
      </c>
      <c r="V137" s="226">
        <f ca="1">COUNTIF($X$124:$X137,X137)/(COUNTIF($X$124:$X$723,X137)+1)</f>
        <v>0.65</v>
      </c>
      <c r="W137" s="19">
        <v>30</v>
      </c>
      <c r="X137" s="19" t="str">
        <f ca="1" t="shared" si="18"/>
        <v>蓝</v>
      </c>
      <c r="Y137" s="19">
        <f t="shared" si="45"/>
        <v>2560</v>
      </c>
      <c r="Z137" s="19">
        <f ca="1" t="shared" si="19"/>
        <v>1.395</v>
      </c>
      <c r="AA137" s="282">
        <f ca="1" t="shared" si="20"/>
        <v>27.1109333333333</v>
      </c>
      <c r="AB137" s="282">
        <f ca="1" t="shared" si="21"/>
        <v>2.46666666666667</v>
      </c>
      <c r="AC137" s="282">
        <f ca="1" t="shared" si="22"/>
        <v>0.4224</v>
      </c>
      <c r="AD137" s="282">
        <f ca="1" t="shared" si="23"/>
        <v>0</v>
      </c>
      <c r="AE137" s="282">
        <f ca="1" t="shared" si="24"/>
        <v>0</v>
      </c>
      <c r="AF137" s="19" t="str">
        <f t="shared" si="25"/>
        <v>红1</v>
      </c>
      <c r="AG137" s="19">
        <f>IFERROR(_xlfn.XLOOKUP(C137+1,[2]基因升级!$E$141:$E$500,[2]基因升级!$D$141:$D$500)-1,AG136)</f>
        <v>39</v>
      </c>
      <c r="AH137" s="19">
        <v>2</v>
      </c>
      <c r="AI137" s="19">
        <f t="shared" si="26"/>
        <v>4.40512582220253</v>
      </c>
      <c r="AJ137" s="19">
        <f t="shared" si="37"/>
        <v>0</v>
      </c>
      <c r="AK137" s="269">
        <v>1.34722222222222</v>
      </c>
      <c r="AQ137" s="19">
        <f t="shared" si="27"/>
        <v>1</v>
      </c>
      <c r="AR137" s="19">
        <f t="shared" si="28"/>
        <v>1</v>
      </c>
      <c r="AS137" s="19">
        <f t="shared" si="29"/>
        <v>1</v>
      </c>
      <c r="AT137" s="19">
        <f t="shared" si="30"/>
        <v>1</v>
      </c>
      <c r="AU137" s="19">
        <f t="shared" si="31"/>
        <v>1</v>
      </c>
    </row>
    <row r="138" spans="1:47">
      <c r="A138" s="279">
        <f ca="1">SUM($N$125:N138)</f>
        <v>7.96194625411809</v>
      </c>
      <c r="C138" s="19">
        <v>15</v>
      </c>
      <c r="D138" s="86">
        <f ca="1" t="shared" si="38"/>
        <v>59.2665042912971</v>
      </c>
      <c r="E138" s="251">
        <f ca="1" t="shared" si="15"/>
        <v>1.30390872593617</v>
      </c>
      <c r="F138" s="269">
        <f ca="1" t="shared" si="32"/>
        <v>30.2209552338407</v>
      </c>
      <c r="G138" s="283">
        <f ca="1" t="shared" si="43"/>
        <v>39.4053672355313</v>
      </c>
      <c r="H138" s="279">
        <f ca="1" t="shared" si="33"/>
        <v>1.04294711490167</v>
      </c>
      <c r="I138" s="269">
        <f ca="1">SUM($J$125:J138)/SUM($H$125:H138)</f>
        <v>0.729234932169203</v>
      </c>
      <c r="J138" s="284">
        <f t="shared" si="39"/>
        <v>0.695164563210568</v>
      </c>
      <c r="K138" s="19">
        <f t="shared" si="44"/>
        <v>2400</v>
      </c>
      <c r="L138" s="269">
        <f t="shared" si="34"/>
        <v>1.12</v>
      </c>
      <c r="M138" s="226">
        <f ca="1" t="shared" si="35"/>
        <v>2.365</v>
      </c>
      <c r="N138" s="280">
        <f ca="1" t="shared" si="40"/>
        <v>0.347782551691096</v>
      </c>
      <c r="O138" s="226">
        <f t="shared" ref="O138:O201" si="48">IF(MOD(C138,60)=0,_xlfn.XLOOKUP(_xlfn.XLOOKUP(O137,$D$76:$D$95,$C$76:$C$95)+1,$C$76:$C$95,$D$76:$D$95),O137)</f>
        <v>1.65</v>
      </c>
      <c r="P138" s="19">
        <f ca="1" t="shared" si="46"/>
        <v>5.33333333333333</v>
      </c>
      <c r="Q138" s="226">
        <f ca="1" t="shared" si="47"/>
        <v>1.43333333333333</v>
      </c>
      <c r="R138" s="269">
        <f ca="1" t="shared" si="16"/>
        <v>0.228609337092564</v>
      </c>
      <c r="S138" s="266">
        <f ca="1" t="shared" si="17"/>
        <v>21.4766778199629</v>
      </c>
      <c r="T138" s="226">
        <f ca="1">(1+OFFSET('玩法产出(新)'!$C$18,MATCH(X138,'玩法产出(新)'!$B$19:$B$25,0),1)*(1-V138)+OFFSET('玩法产出(新)'!$C$18,1+MATCH(X138,'玩法产出(新)'!$B$19:$B$25,0),1)*(V138))^AA138*(1+OFFSET('玩法产出(新)'!$C$18,MATCH(X138,'玩法产出(新)'!$B$19:$B$25,0),3)*(1-V138)+OFFSET('玩法产出(新)'!$C$18,1+MATCH(X138,'玩法产出(新)'!$B$19:$B$25,0),3)*(V138))^AB138*(1+OFFSET('玩法产出(新)'!$C$18,MATCH(X138,'玩法产出(新)'!$B$19:$B$25,0),4)*(1-V138)+OFFSET('玩法产出(新)'!$C$18,1+MATCH(X138,'玩法产出(新)'!$B$19:$B$25,0),4)*(V138))^AC138*(1+OFFSET('玩法产出(新)'!$C$18,MATCH(X138,'玩法产出(新)'!$B$19:$B$25,0),5)*(1+V138)+OFFSET('玩法产出(新)'!$C$18,1+MATCH(X138,'玩法产出(新)'!$B$19:$B$25,5),1)*(V138))^AD138*(1+OFFSET('玩法产出(新)'!$C$18,MATCH(X138,'玩法产出(新)'!$B$19:$B$25,0),6)*(1+V138)+OFFSET('玩法产出(新)'!$C$18,1+MATCH(X138,'玩法产出(新)'!$B$19:$B$25,0),6)*(V138))^AE138</f>
        <v>4.27627795691635</v>
      </c>
      <c r="U138" s="226">
        <f ca="1" t="shared" si="36"/>
        <v>0.260961611034507</v>
      </c>
      <c r="V138" s="226">
        <f ca="1">COUNTIF($X$124:$X138,X138)/(COUNTIF($X$124:$X$723,X138)+1)</f>
        <v>0.7</v>
      </c>
      <c r="W138" s="19">
        <v>30</v>
      </c>
      <c r="X138" s="19" t="str">
        <f ca="1" t="shared" si="18"/>
        <v>蓝</v>
      </c>
      <c r="Y138" s="19">
        <f t="shared" si="45"/>
        <v>2660</v>
      </c>
      <c r="Z138" s="19">
        <f ca="1" t="shared" si="19"/>
        <v>1.41</v>
      </c>
      <c r="AA138" s="282">
        <f ca="1" t="shared" si="20"/>
        <v>27.0176875</v>
      </c>
      <c r="AB138" s="282">
        <f ca="1" t="shared" si="21"/>
        <v>2.5390625</v>
      </c>
      <c r="AC138" s="282">
        <f ca="1" t="shared" si="22"/>
        <v>0.44325</v>
      </c>
      <c r="AD138" s="282">
        <f ca="1" t="shared" si="23"/>
        <v>0</v>
      </c>
      <c r="AE138" s="282">
        <f ca="1" t="shared" si="24"/>
        <v>0</v>
      </c>
      <c r="AF138" s="19" t="str">
        <f t="shared" si="25"/>
        <v>红1</v>
      </c>
      <c r="AG138" s="19">
        <f>IFERROR(_xlfn.XLOOKUP(C138+1,[2]基因升级!$E$141:$E$500,[2]基因升级!$D$141:$D$500)-1,AG137)</f>
        <v>40</v>
      </c>
      <c r="AH138" s="19">
        <v>2</v>
      </c>
      <c r="AI138" s="19">
        <f t="shared" si="26"/>
        <v>4.40512582220253</v>
      </c>
      <c r="AJ138" s="19">
        <f t="shared" si="37"/>
        <v>0</v>
      </c>
      <c r="AK138" s="269">
        <v>1.34722222222222</v>
      </c>
      <c r="AQ138" s="19">
        <f t="shared" si="27"/>
        <v>1</v>
      </c>
      <c r="AR138" s="19">
        <f t="shared" si="28"/>
        <v>1</v>
      </c>
      <c r="AS138" s="19">
        <f t="shared" si="29"/>
        <v>1</v>
      </c>
      <c r="AT138" s="19">
        <f t="shared" si="30"/>
        <v>1</v>
      </c>
      <c r="AU138" s="19">
        <f t="shared" si="31"/>
        <v>1</v>
      </c>
    </row>
    <row r="139" spans="1:47">
      <c r="A139" s="279">
        <f ca="1">SUM($N$125:N139)</f>
        <v>8.30173309206529</v>
      </c>
      <c r="C139" s="19">
        <v>16</v>
      </c>
      <c r="D139" s="86">
        <f ca="1" t="shared" si="38"/>
        <v>60.537210705436</v>
      </c>
      <c r="E139" s="251">
        <f ca="1" t="shared" si="15"/>
        <v>1.27070641413892</v>
      </c>
      <c r="F139" s="269">
        <f ca="1" t="shared" si="32"/>
        <v>31.8046257297426</v>
      </c>
      <c r="G139" s="283">
        <f ca="1" t="shared" si="43"/>
        <v>40.4143419140715</v>
      </c>
      <c r="H139" s="279">
        <f ca="1" t="shared" si="33"/>
        <v>1.00897467854023</v>
      </c>
      <c r="I139" s="269">
        <f ca="1">SUM($J$125:J139)/SUM($H$125:H139)</f>
        <v>0.727045447324822</v>
      </c>
      <c r="J139" s="284">
        <f t="shared" si="39"/>
        <v>0.669187840593029</v>
      </c>
      <c r="K139" s="19">
        <f t="shared" si="44"/>
        <v>2500</v>
      </c>
      <c r="L139" s="269">
        <f t="shared" si="34"/>
        <v>1.125</v>
      </c>
      <c r="M139" s="226">
        <f ca="1" t="shared" si="35"/>
        <v>2.42</v>
      </c>
      <c r="N139" s="280">
        <f ca="1" t="shared" si="40"/>
        <v>0.339786837947197</v>
      </c>
      <c r="O139" s="226">
        <f t="shared" si="48"/>
        <v>1.65</v>
      </c>
      <c r="P139" s="19">
        <f ca="1" t="shared" si="46"/>
        <v>5.66666666666667</v>
      </c>
      <c r="Q139" s="226">
        <f ca="1" t="shared" si="47"/>
        <v>1.46666666666667</v>
      </c>
      <c r="R139" s="269">
        <f ca="1" t="shared" si="16"/>
        <v>0.23139535078951</v>
      </c>
      <c r="S139" s="266">
        <f ca="1" t="shared" si="17"/>
        <v>21.7384095555616</v>
      </c>
      <c r="T139" s="226">
        <f ca="1">(1+OFFSET('玩法产出(新)'!$C$18,MATCH(X139,'玩法产出(新)'!$B$19:$B$25,0),1)*(1-V139)+OFFSET('玩法产出(新)'!$C$18,1+MATCH(X139,'玩法产出(新)'!$B$19:$B$25,0),1)*(V139))^AA139*(1+OFFSET('玩法产出(新)'!$C$18,MATCH(X139,'玩法产出(新)'!$B$19:$B$25,0),3)*(1-V139)+OFFSET('玩法产出(新)'!$C$18,1+MATCH(X139,'玩法产出(新)'!$B$19:$B$25,0),3)*(V139))^AB139*(1+OFFSET('玩法产出(新)'!$C$18,MATCH(X139,'玩法产出(新)'!$B$19:$B$25,0),4)*(1-V139)+OFFSET('玩法产出(新)'!$C$18,1+MATCH(X139,'玩法产出(新)'!$B$19:$B$25,0),4)*(V139))^AC139*(1+OFFSET('玩法产出(新)'!$C$18,MATCH(X139,'玩法产出(新)'!$B$19:$B$25,0),5)*(1+V139)+OFFSET('玩法产出(新)'!$C$18,1+MATCH(X139,'玩法产出(新)'!$B$19:$B$25,5),1)*(V139))^AD139*(1+OFFSET('玩法产出(新)'!$C$18,MATCH(X139,'玩法产出(新)'!$B$19:$B$25,0),6)*(1+V139)+OFFSET('玩法产出(新)'!$C$18,1+MATCH(X139,'玩法产出(新)'!$B$19:$B$25,0),6)*(V139))^AE139</f>
        <v>4.35267853380731</v>
      </c>
      <c r="U139" s="226">
        <f ca="1" t="shared" si="36"/>
        <v>0.261731735598689</v>
      </c>
      <c r="V139" s="226">
        <f ca="1">COUNTIF($X$124:$X139,X139)/(COUNTIF($X$124:$X$723,X139)+1)</f>
        <v>0.75</v>
      </c>
      <c r="W139" s="19">
        <v>30</v>
      </c>
      <c r="X139" s="19" t="str">
        <f ca="1" t="shared" si="18"/>
        <v>蓝</v>
      </c>
      <c r="Y139" s="19">
        <f t="shared" si="45"/>
        <v>2760</v>
      </c>
      <c r="Z139" s="19">
        <f ca="1" t="shared" si="19"/>
        <v>1.425</v>
      </c>
      <c r="AA139" s="282">
        <f ca="1" t="shared" si="20"/>
        <v>26.9244416666667</v>
      </c>
      <c r="AB139" s="282">
        <f ca="1" t="shared" si="21"/>
        <v>2.61145833333333</v>
      </c>
      <c r="AC139" s="282">
        <f ca="1" t="shared" si="22"/>
        <v>0.4641</v>
      </c>
      <c r="AD139" s="282">
        <f ca="1" t="shared" si="23"/>
        <v>0</v>
      </c>
      <c r="AE139" s="282">
        <f ca="1" t="shared" si="24"/>
        <v>0</v>
      </c>
      <c r="AF139" s="19" t="str">
        <f t="shared" si="25"/>
        <v>红1</v>
      </c>
      <c r="AG139" s="19">
        <f>IFERROR(_xlfn.XLOOKUP(C139+1,[2]基因升级!$E$141:$E$500,[2]基因升级!$D$141:$D$500)-1,AG138)</f>
        <v>41</v>
      </c>
      <c r="AH139" s="19">
        <v>2</v>
      </c>
      <c r="AI139" s="19">
        <f t="shared" si="26"/>
        <v>4.40512582220253</v>
      </c>
      <c r="AJ139" s="19">
        <f t="shared" si="37"/>
        <v>0</v>
      </c>
      <c r="AK139" s="269">
        <v>1.34722222222222</v>
      </c>
      <c r="AQ139" s="19">
        <f t="shared" si="27"/>
        <v>1</v>
      </c>
      <c r="AR139" s="19">
        <f t="shared" si="28"/>
        <v>1</v>
      </c>
      <c r="AS139" s="19">
        <f t="shared" si="29"/>
        <v>1</v>
      </c>
      <c r="AT139" s="19">
        <f t="shared" si="30"/>
        <v>1</v>
      </c>
      <c r="AU139" s="19">
        <f t="shared" si="31"/>
        <v>1</v>
      </c>
    </row>
    <row r="140" spans="1:47">
      <c r="A140" s="279">
        <f ca="1">SUM($N$125:N140)</f>
        <v>8.63388362062271</v>
      </c>
      <c r="C140" s="19">
        <v>17</v>
      </c>
      <c r="D140" s="86">
        <f ca="1" t="shared" si="38"/>
        <v>62.5199639734954</v>
      </c>
      <c r="E140" s="251">
        <f ca="1" t="shared" si="15"/>
        <v>1.98275326805942</v>
      </c>
      <c r="F140" s="269">
        <f ca="1" t="shared" si="32"/>
        <v>20.875880995333</v>
      </c>
      <c r="G140" s="283">
        <f ca="1" t="shared" si="43"/>
        <v>41.3917212671161</v>
      </c>
      <c r="H140" s="279">
        <f ca="1" t="shared" si="33"/>
        <v>0.977379353044547</v>
      </c>
      <c r="I140" s="269">
        <f ca="1">SUM($J$125:J140)/SUM($H$125:H140)</f>
        <v>0.724963038912204</v>
      </c>
      <c r="J140" s="284">
        <f t="shared" si="39"/>
        <v>0.64522882448713</v>
      </c>
      <c r="K140" s="19">
        <f t="shared" si="44"/>
        <v>2600</v>
      </c>
      <c r="L140" s="269">
        <f t="shared" si="34"/>
        <v>1.13</v>
      </c>
      <c r="M140" s="226">
        <f ca="1" t="shared" si="35"/>
        <v>2.475</v>
      </c>
      <c r="N140" s="280">
        <f ca="1" t="shared" si="40"/>
        <v>0.332150528557426</v>
      </c>
      <c r="O140" s="226">
        <f t="shared" si="48"/>
        <v>1.65</v>
      </c>
      <c r="P140" s="19">
        <f ca="1" t="shared" si="46"/>
        <v>6</v>
      </c>
      <c r="Q140" s="226">
        <f ca="1" t="shared" si="47"/>
        <v>1.5</v>
      </c>
      <c r="R140" s="269">
        <f ca="1" t="shared" si="16"/>
        <v>0.23418954392668</v>
      </c>
      <c r="S140" s="266">
        <f ca="1" t="shared" si="17"/>
        <v>22.0009097077294</v>
      </c>
      <c r="T140" s="226">
        <f ca="1">(1+OFFSET('玩法产出(新)'!$C$18,MATCH(X140,'玩法产出(新)'!$B$19:$B$25,0),1)*(1-V140)+OFFSET('玩法产出(新)'!$C$18,1+MATCH(X140,'玩法产出(新)'!$B$19:$B$25,0),1)*(V140))^AA140*(1+OFFSET('玩法产出(新)'!$C$18,MATCH(X140,'玩法产出(新)'!$B$19:$B$25,0),3)*(1-V140)+OFFSET('玩法产出(新)'!$C$18,1+MATCH(X140,'玩法产出(新)'!$B$19:$B$25,0),3)*(V140))^AB140*(1+OFFSET('玩法产出(新)'!$C$18,MATCH(X140,'玩法产出(新)'!$B$19:$B$25,0),4)*(1-V140)+OFFSET('玩法产出(新)'!$C$18,1+MATCH(X140,'玩法产出(新)'!$B$19:$B$25,0),4)*(V140))^AC140*(1+OFFSET('玩法产出(新)'!$C$18,MATCH(X140,'玩法产出(新)'!$B$19:$B$25,0),5)*(1+V140)+OFFSET('玩法产出(新)'!$C$18,1+MATCH(X140,'玩法产出(新)'!$B$19:$B$25,5),1)*(V140))^AD140*(1+OFFSET('玩法产出(新)'!$C$18,MATCH(X140,'玩法产出(新)'!$B$19:$B$25,0),6)*(1+V140)+OFFSET('玩法产出(新)'!$C$18,1+MATCH(X140,'玩法产出(新)'!$B$19:$B$25,0),6)*(V140))^AE140</f>
        <v>4.43067443892753</v>
      </c>
      <c r="U140" s="226">
        <f ca="1" t="shared" si="36"/>
        <v>0.26250015216776</v>
      </c>
      <c r="V140" s="226">
        <f ca="1">COUNTIF($X$124:$X140,X140)/(COUNTIF($X$124:$X$723,X140)+1)</f>
        <v>0.8</v>
      </c>
      <c r="W140" s="19">
        <v>30</v>
      </c>
      <c r="X140" s="19" t="str">
        <f ca="1" t="shared" si="18"/>
        <v>蓝</v>
      </c>
      <c r="Y140" s="19">
        <f t="shared" si="45"/>
        <v>2860</v>
      </c>
      <c r="Z140" s="19">
        <f ca="1" t="shared" si="19"/>
        <v>1.44</v>
      </c>
      <c r="AA140" s="282">
        <f ca="1" t="shared" si="20"/>
        <v>26.8311958333333</v>
      </c>
      <c r="AB140" s="282">
        <f ca="1" t="shared" si="21"/>
        <v>2.68385416666667</v>
      </c>
      <c r="AC140" s="282">
        <f ca="1" t="shared" si="22"/>
        <v>0.48495</v>
      </c>
      <c r="AD140" s="282">
        <f ca="1" t="shared" si="23"/>
        <v>0</v>
      </c>
      <c r="AE140" s="282">
        <f ca="1" t="shared" si="24"/>
        <v>0</v>
      </c>
      <c r="AF140" s="19" t="str">
        <f t="shared" si="25"/>
        <v>红1</v>
      </c>
      <c r="AG140" s="19">
        <f>IFERROR(_xlfn.XLOOKUP(C140+1,[2]基因升级!$E$141:$E$500,[2]基因升级!$D$141:$D$500)-1,AG139)</f>
        <v>41</v>
      </c>
      <c r="AH140" s="19">
        <v>3</v>
      </c>
      <c r="AI140" s="19">
        <f t="shared" si="26"/>
        <v>5.14799958504964</v>
      </c>
      <c r="AJ140" s="19">
        <f t="shared" si="37"/>
        <v>0.742873762847102</v>
      </c>
      <c r="AK140" s="269">
        <v>1.41666666666667</v>
      </c>
      <c r="AQ140" s="19">
        <f t="shared" si="27"/>
        <v>1</v>
      </c>
      <c r="AR140" s="19">
        <f t="shared" si="28"/>
        <v>1</v>
      </c>
      <c r="AS140" s="19">
        <f t="shared" si="29"/>
        <v>1</v>
      </c>
      <c r="AT140" s="19">
        <f t="shared" si="30"/>
        <v>1</v>
      </c>
      <c r="AU140" s="19">
        <f t="shared" si="31"/>
        <v>1</v>
      </c>
    </row>
    <row r="141" spans="1:47">
      <c r="A141" s="279">
        <f ca="1">SUM($N$125:N141)</f>
        <v>8.95873354320551</v>
      </c>
      <c r="C141" s="19">
        <v>18</v>
      </c>
      <c r="D141" s="86">
        <f ca="1" t="shared" si="38"/>
        <v>63.7311400033847</v>
      </c>
      <c r="E141" s="251">
        <f ca="1" t="shared" si="15"/>
        <v>1.21117602988932</v>
      </c>
      <c r="F141" s="269">
        <f ca="1" t="shared" si="32"/>
        <v>34.9574540663291</v>
      </c>
      <c r="G141" s="283">
        <f ca="1" t="shared" si="43"/>
        <v>42.3396304310947</v>
      </c>
      <c r="H141" s="279">
        <f ca="1" t="shared" si="33"/>
        <v>0.94790916397865</v>
      </c>
      <c r="I141" s="269">
        <f ca="1">SUM($J$125:J141)/SUM($H$125:H141)</f>
        <v>0.722979717956465</v>
      </c>
      <c r="J141" s="284">
        <f t="shared" si="39"/>
        <v>0.62305924139585</v>
      </c>
      <c r="K141" s="19">
        <f t="shared" si="44"/>
        <v>2700</v>
      </c>
      <c r="L141" s="269">
        <f t="shared" si="34"/>
        <v>1.135</v>
      </c>
      <c r="M141" s="226">
        <f ca="1" t="shared" si="35"/>
        <v>2.53</v>
      </c>
      <c r="N141" s="280">
        <f ca="1" t="shared" si="40"/>
        <v>0.324849922582795</v>
      </c>
      <c r="O141" s="226">
        <f t="shared" si="48"/>
        <v>1.65</v>
      </c>
      <c r="P141" s="19">
        <f ca="1" t="shared" si="46"/>
        <v>6.33333333333333</v>
      </c>
      <c r="Q141" s="226">
        <f ca="1" t="shared" si="47"/>
        <v>1.53333333333333</v>
      </c>
      <c r="R141" s="269">
        <f ca="1" t="shared" si="16"/>
        <v>0.236991898378277</v>
      </c>
      <c r="S141" s="266">
        <f ca="1" t="shared" si="17"/>
        <v>22.2641765736401</v>
      </c>
      <c r="T141" s="226">
        <f ca="1">(1+OFFSET('玩法产出(新)'!$C$18,MATCH(X141,'玩法产出(新)'!$B$19:$B$25,0),1)*(1-V141)+OFFSET('玩法产出(新)'!$C$18,1+MATCH(X141,'玩法产出(新)'!$B$19:$B$25,0),1)*(V141))^AA141*(1+OFFSET('玩法产出(新)'!$C$18,MATCH(X141,'玩法产出(新)'!$B$19:$B$25,0),3)*(1-V141)+OFFSET('玩法产出(新)'!$C$18,1+MATCH(X141,'玩法产出(新)'!$B$19:$B$25,0),3)*(V141))^AB141*(1+OFFSET('玩法产出(新)'!$C$18,MATCH(X141,'玩法产出(新)'!$B$19:$B$25,0),4)*(1-V141)+OFFSET('玩法产出(新)'!$C$18,1+MATCH(X141,'玩法产出(新)'!$B$19:$B$25,0),4)*(V141))^AC141*(1+OFFSET('玩法产出(新)'!$C$18,MATCH(X141,'玩法产出(新)'!$B$19:$B$25,0),5)*(1+V141)+OFFSET('玩法产出(新)'!$C$18,1+MATCH(X141,'玩法产出(新)'!$B$19:$B$25,5),1)*(V141))^AD141*(1+OFFSET('玩法产出(新)'!$C$18,MATCH(X141,'玩法产出(新)'!$B$19:$B$25,0),6)*(1+V141)+OFFSET('玩法产出(新)'!$C$18,1+MATCH(X141,'玩法产出(新)'!$B$19:$B$25,0),6)*(V141))^AE141</f>
        <v>4.51030192231527</v>
      </c>
      <c r="U141" s="226">
        <f ca="1" t="shared" si="36"/>
        <v>0.263266865910674</v>
      </c>
      <c r="V141" s="226">
        <f ca="1">COUNTIF($X$124:$X141,X141)/(COUNTIF($X$124:$X$723,X141)+1)</f>
        <v>0.85</v>
      </c>
      <c r="W141" s="19">
        <v>30</v>
      </c>
      <c r="X141" s="19" t="str">
        <f ca="1" t="shared" si="18"/>
        <v>蓝</v>
      </c>
      <c r="Y141" s="19">
        <f t="shared" si="45"/>
        <v>2960</v>
      </c>
      <c r="Z141" s="19">
        <f ca="1" t="shared" si="19"/>
        <v>1.455</v>
      </c>
      <c r="AA141" s="282">
        <f ca="1" t="shared" si="20"/>
        <v>26.73795</v>
      </c>
      <c r="AB141" s="282">
        <f ca="1" t="shared" si="21"/>
        <v>2.75625</v>
      </c>
      <c r="AC141" s="282">
        <f ca="1" t="shared" si="22"/>
        <v>0.5058</v>
      </c>
      <c r="AD141" s="282">
        <f ca="1" t="shared" si="23"/>
        <v>0</v>
      </c>
      <c r="AE141" s="282">
        <f ca="1" t="shared" si="24"/>
        <v>0</v>
      </c>
      <c r="AF141" s="19" t="str">
        <f t="shared" si="25"/>
        <v>红1</v>
      </c>
      <c r="AG141" s="19">
        <f>IFERROR(_xlfn.XLOOKUP(C141+1,[2]基因升级!$E$141:$E$500,[2]基因升级!$D$141:$D$500)-1,AG140)</f>
        <v>42</v>
      </c>
      <c r="AH141" s="19">
        <v>3</v>
      </c>
      <c r="AI141" s="19">
        <f t="shared" si="26"/>
        <v>5.14799958504964</v>
      </c>
      <c r="AJ141" s="19">
        <f t="shared" si="37"/>
        <v>0</v>
      </c>
      <c r="AK141" s="269">
        <v>1.41666666666667</v>
      </c>
      <c r="AQ141" s="19">
        <f t="shared" si="27"/>
        <v>1</v>
      </c>
      <c r="AR141" s="19">
        <f t="shared" si="28"/>
        <v>1</v>
      </c>
      <c r="AS141" s="19">
        <f t="shared" si="29"/>
        <v>1</v>
      </c>
      <c r="AT141" s="19">
        <f t="shared" si="30"/>
        <v>1</v>
      </c>
      <c r="AU141" s="19">
        <f t="shared" si="31"/>
        <v>1</v>
      </c>
    </row>
    <row r="142" spans="1:47">
      <c r="A142" s="279">
        <f ca="1">SUM($N$125:N142)</f>
        <v>9.27659690149128</v>
      </c>
      <c r="C142" s="19">
        <v>19</v>
      </c>
      <c r="D142" s="86">
        <f ca="1" t="shared" si="38"/>
        <v>64.9155192802536</v>
      </c>
      <c r="E142" s="251">
        <f ca="1" t="shared" si="15"/>
        <v>1.18437927686887</v>
      </c>
      <c r="F142" s="269">
        <f ca="1" t="shared" si="32"/>
        <v>36.5254430492518</v>
      </c>
      <c r="G142" s="283">
        <f ca="1" t="shared" si="43"/>
        <v>43.259977825988</v>
      </c>
      <c r="H142" s="279">
        <f ca="1" t="shared" si="33"/>
        <v>0.920347394893291</v>
      </c>
      <c r="I142" s="269">
        <f ca="1">SUM($J$125:J142)/SUM($H$125:H142)</f>
        <v>0.721088301681219</v>
      </c>
      <c r="J142" s="284">
        <f t="shared" si="39"/>
        <v>0.60248403660751</v>
      </c>
      <c r="K142" s="19">
        <f t="shared" si="44"/>
        <v>2800</v>
      </c>
      <c r="L142" s="269">
        <f t="shared" si="34"/>
        <v>1.14</v>
      </c>
      <c r="M142" s="226">
        <f ca="1" t="shared" si="35"/>
        <v>2.585</v>
      </c>
      <c r="N142" s="280">
        <f ca="1" t="shared" si="40"/>
        <v>0.317863358285775</v>
      </c>
      <c r="O142" s="226">
        <f t="shared" si="48"/>
        <v>1.65</v>
      </c>
      <c r="P142" s="19">
        <f ca="1" t="shared" si="46"/>
        <v>6.66666666666667</v>
      </c>
      <c r="Q142" s="226">
        <f ca="1" t="shared" si="47"/>
        <v>1.56666666666667</v>
      </c>
      <c r="R142" s="269">
        <f ca="1" t="shared" si="16"/>
        <v>0.239802396073299</v>
      </c>
      <c r="S142" s="266">
        <f ca="1" t="shared" si="17"/>
        <v>22.5282084556157</v>
      </c>
      <c r="T142" s="226">
        <f ca="1">(1+OFFSET('玩法产出(新)'!$C$18,MATCH(X142,'玩法产出(新)'!$B$19:$B$25,0),1)*(1-V142)+OFFSET('玩法产出(新)'!$C$18,1+MATCH(X142,'玩法产出(新)'!$B$19:$B$25,0),1)*(V142))^AA142*(1+OFFSET('玩法产出(新)'!$C$18,MATCH(X142,'玩法产出(新)'!$B$19:$B$25,0),3)*(1-V142)+OFFSET('玩法产出(新)'!$C$18,1+MATCH(X142,'玩法产出(新)'!$B$19:$B$25,0),3)*(V142))^AB142*(1+OFFSET('玩法产出(新)'!$C$18,MATCH(X142,'玩法产出(新)'!$B$19:$B$25,0),4)*(1-V142)+OFFSET('玩法产出(新)'!$C$18,1+MATCH(X142,'玩法产出(新)'!$B$19:$B$25,0),4)*(V142))^AC142*(1+OFFSET('玩法产出(新)'!$C$18,MATCH(X142,'玩法产出(新)'!$B$19:$B$25,0),5)*(1+V142)+OFFSET('玩法产出(新)'!$C$18,1+MATCH(X142,'玩法产出(新)'!$B$19:$B$25,5),1)*(V142))^AD142*(1+OFFSET('玩法产出(新)'!$C$18,MATCH(X142,'玩法产出(新)'!$B$19:$B$25,0),6)*(1+V142)+OFFSET('玩法产出(新)'!$C$18,1+MATCH(X142,'玩法产出(新)'!$B$19:$B$25,0),6)*(V142))^AE142</f>
        <v>4.59159811484609</v>
      </c>
      <c r="U142" s="226">
        <f ca="1" t="shared" si="36"/>
        <v>0.264031881975586</v>
      </c>
      <c r="V142" s="226">
        <f ca="1">COUNTIF($X$124:$X142,X142)/(COUNTIF($X$124:$X$723,X142)+1)</f>
        <v>0.9</v>
      </c>
      <c r="W142" s="19">
        <v>30</v>
      </c>
      <c r="X142" s="19" t="str">
        <f ca="1" t="shared" si="18"/>
        <v>蓝</v>
      </c>
      <c r="Y142" s="19">
        <f t="shared" si="45"/>
        <v>3060</v>
      </c>
      <c r="Z142" s="19">
        <f ca="1" t="shared" si="19"/>
        <v>1.47</v>
      </c>
      <c r="AA142" s="282">
        <f ca="1" t="shared" si="20"/>
        <v>26.6447041666667</v>
      </c>
      <c r="AB142" s="282">
        <f ca="1" t="shared" si="21"/>
        <v>2.82864583333333</v>
      </c>
      <c r="AC142" s="282">
        <f ca="1" t="shared" si="22"/>
        <v>0.52665</v>
      </c>
      <c r="AD142" s="282">
        <f ca="1" t="shared" si="23"/>
        <v>0</v>
      </c>
      <c r="AE142" s="282">
        <f ca="1" t="shared" si="24"/>
        <v>0</v>
      </c>
      <c r="AF142" s="19" t="str">
        <f t="shared" si="25"/>
        <v>红1</v>
      </c>
      <c r="AG142" s="19">
        <f>IFERROR(_xlfn.XLOOKUP(C142+1,[2]基因升级!$E$141:$E$500,[2]基因升级!$D$141:$D$500)-1,AG141)</f>
        <v>43</v>
      </c>
      <c r="AH142" s="19">
        <v>3</v>
      </c>
      <c r="AI142" s="19">
        <f t="shared" si="26"/>
        <v>5.14799958504964</v>
      </c>
      <c r="AJ142" s="19">
        <f t="shared" si="37"/>
        <v>0</v>
      </c>
      <c r="AK142" s="269">
        <v>1.41666666666667</v>
      </c>
      <c r="AQ142" s="19">
        <f t="shared" si="27"/>
        <v>1</v>
      </c>
      <c r="AR142" s="19">
        <f t="shared" si="28"/>
        <v>1</v>
      </c>
      <c r="AS142" s="19">
        <f t="shared" si="29"/>
        <v>1</v>
      </c>
      <c r="AT142" s="19">
        <f t="shared" si="30"/>
        <v>1</v>
      </c>
      <c r="AU142" s="19">
        <f t="shared" si="31"/>
        <v>1</v>
      </c>
    </row>
    <row r="143" spans="1:47">
      <c r="A143" s="279">
        <f ca="1">SUM($N$125:N143)</f>
        <v>9.58776789991849</v>
      </c>
      <c r="C143" s="19">
        <v>20</v>
      </c>
      <c r="D143" s="86">
        <f ca="1" t="shared" si="38"/>
        <v>66.074821026653</v>
      </c>
      <c r="E143" s="251">
        <f ca="1" t="shared" si="15"/>
        <v>1.15930174639938</v>
      </c>
      <c r="F143" s="269">
        <f ca="1" t="shared" si="32"/>
        <v>38.0871369374146</v>
      </c>
      <c r="G143" s="283">
        <f ca="1" t="shared" si="43"/>
        <v>44.1544843668972</v>
      </c>
      <c r="H143" s="279">
        <f ca="1" t="shared" si="33"/>
        <v>0.89450654090917</v>
      </c>
      <c r="I143" s="269">
        <f ca="1">SUM($J$125:J143)/SUM($H$125:H143)</f>
        <v>0.719282311601487</v>
      </c>
      <c r="J143" s="284">
        <f t="shared" si="39"/>
        <v>0.583335542481962</v>
      </c>
      <c r="K143" s="19">
        <f t="shared" si="44"/>
        <v>2900</v>
      </c>
      <c r="L143" s="269">
        <f t="shared" si="34"/>
        <v>1.145</v>
      </c>
      <c r="M143" s="226">
        <f ca="1" t="shared" si="35"/>
        <v>2.64</v>
      </c>
      <c r="N143" s="280">
        <f ca="1" t="shared" si="40"/>
        <v>0.311170998427205</v>
      </c>
      <c r="O143" s="226">
        <f t="shared" si="48"/>
        <v>1.65</v>
      </c>
      <c r="P143" s="19">
        <f ca="1" t="shared" si="46"/>
        <v>7</v>
      </c>
      <c r="Q143" s="226">
        <f ca="1" t="shared" si="47"/>
        <v>1.6</v>
      </c>
      <c r="R143" s="269">
        <f ca="1" t="shared" si="16"/>
        <v>0.242621018995329</v>
      </c>
      <c r="S143" s="266">
        <f ca="1" t="shared" si="17"/>
        <v>22.7930036611059</v>
      </c>
      <c r="T143" s="226">
        <f ca="1">(1+OFFSET('玩法产出(新)'!$C$18,MATCH(X143,'玩法产出(新)'!$B$19:$B$25,0),1)*(1-V143)+OFFSET('玩法产出(新)'!$C$18,1+MATCH(X143,'玩法产出(新)'!$B$19:$B$25,0),1)*(V143))^AA143*(1+OFFSET('玩法产出(新)'!$C$18,MATCH(X143,'玩法产出(新)'!$B$19:$B$25,0),3)*(1-V143)+OFFSET('玩法产出(新)'!$C$18,1+MATCH(X143,'玩法产出(新)'!$B$19:$B$25,0),3)*(V143))^AB143*(1+OFFSET('玩法产出(新)'!$C$18,MATCH(X143,'玩法产出(新)'!$B$19:$B$25,0),4)*(1-V143)+OFFSET('玩法产出(新)'!$C$18,1+MATCH(X143,'玩法产出(新)'!$B$19:$B$25,0),4)*(V143))^AC143*(1+OFFSET('玩法产出(新)'!$C$18,MATCH(X143,'玩法产出(新)'!$B$19:$B$25,0),5)*(1+V143)+OFFSET('玩法产出(新)'!$C$18,1+MATCH(X143,'玩法产出(新)'!$B$19:$B$25,5),1)*(V143))^AD143*(1+OFFSET('玩法产出(新)'!$C$18,MATCH(X143,'玩法产出(新)'!$B$19:$B$25,0),6)*(1+V143)+OFFSET('玩法产出(新)'!$C$18,1+MATCH(X143,'玩法产出(新)'!$B$19:$B$25,0),6)*(V143))^AE143</f>
        <v>4.67460105078666</v>
      </c>
      <c r="U143" s="226">
        <f ca="1" t="shared" si="36"/>
        <v>0.264795205490217</v>
      </c>
      <c r="V143" s="226">
        <f ca="1">COUNTIF($X$124:$X143,X143)/(COUNTIF($X$124:$X$723,X143)+1)</f>
        <v>0.95</v>
      </c>
      <c r="W143" s="19">
        <v>30</v>
      </c>
      <c r="X143" s="19" t="str">
        <f ca="1" t="shared" si="18"/>
        <v>蓝</v>
      </c>
      <c r="Y143" s="19">
        <f t="shared" si="45"/>
        <v>3160</v>
      </c>
      <c r="Z143" s="19">
        <f ca="1" t="shared" si="19"/>
        <v>1.485</v>
      </c>
      <c r="AA143" s="282">
        <f ca="1" t="shared" si="20"/>
        <v>26.5514583333333</v>
      </c>
      <c r="AB143" s="282">
        <f ca="1" t="shared" si="21"/>
        <v>2.90104166666667</v>
      </c>
      <c r="AC143" s="282">
        <f ca="1" t="shared" si="22"/>
        <v>0.5475</v>
      </c>
      <c r="AD143" s="282">
        <f ca="1" t="shared" si="23"/>
        <v>0</v>
      </c>
      <c r="AE143" s="282">
        <f ca="1" t="shared" si="24"/>
        <v>0</v>
      </c>
      <c r="AF143" s="19" t="str">
        <f t="shared" si="25"/>
        <v>红1</v>
      </c>
      <c r="AG143" s="19">
        <f>IFERROR(_xlfn.XLOOKUP(C143+1,[2]基因升级!$E$141:$E$500,[2]基因升级!$D$141:$D$500)-1,AG142)</f>
        <v>44</v>
      </c>
      <c r="AH143" s="19">
        <v>3</v>
      </c>
      <c r="AI143" s="19">
        <f t="shared" si="26"/>
        <v>5.14799958504964</v>
      </c>
      <c r="AJ143" s="19">
        <f t="shared" si="37"/>
        <v>0</v>
      </c>
      <c r="AK143" s="269">
        <v>1.41666666666667</v>
      </c>
      <c r="AQ143" s="19">
        <f t="shared" si="27"/>
        <v>1</v>
      </c>
      <c r="AR143" s="19">
        <f t="shared" si="28"/>
        <v>1</v>
      </c>
      <c r="AS143" s="19">
        <f t="shared" si="29"/>
        <v>1</v>
      </c>
      <c r="AT143" s="19">
        <f t="shared" si="30"/>
        <v>1</v>
      </c>
      <c r="AU143" s="19">
        <f t="shared" si="31"/>
        <v>1</v>
      </c>
    </row>
    <row r="144" spans="1:47">
      <c r="A144" s="279">
        <f ca="1">SUM($N$125:N144)</f>
        <v>9.89252254204995</v>
      </c>
      <c r="C144" s="19">
        <v>21</v>
      </c>
      <c r="D144" s="86">
        <f ca="1" t="shared" si="38"/>
        <v>67.4785073176646</v>
      </c>
      <c r="E144" s="251">
        <f ca="1" t="shared" si="15"/>
        <v>1.40368629101162</v>
      </c>
      <c r="F144" s="269">
        <f ca="1" t="shared" si="32"/>
        <v>32.076047284266</v>
      </c>
      <c r="G144" s="283">
        <f ca="1" t="shared" si="43"/>
        <v>45.0247078427646</v>
      </c>
      <c r="H144" s="279">
        <f ca="1" t="shared" si="33"/>
        <v>0.870223475867384</v>
      </c>
      <c r="I144" s="269">
        <f ca="1">SUM($J$125:J144)/SUM($H$125:H144)</f>
        <v>0.717555886933869</v>
      </c>
      <c r="J144" s="284">
        <f t="shared" si="39"/>
        <v>0.565468833735924</v>
      </c>
      <c r="K144" s="19">
        <f t="shared" si="44"/>
        <v>3000</v>
      </c>
      <c r="L144" s="269">
        <f t="shared" si="34"/>
        <v>1.15</v>
      </c>
      <c r="M144" s="226">
        <f ca="1" t="shared" si="35"/>
        <v>2.695</v>
      </c>
      <c r="N144" s="280">
        <f ca="1" t="shared" si="40"/>
        <v>0.304754642131464</v>
      </c>
      <c r="O144" s="226">
        <f t="shared" si="48"/>
        <v>1.65</v>
      </c>
      <c r="P144" s="19">
        <f ca="1" t="shared" si="46"/>
        <v>7.33333333333333</v>
      </c>
      <c r="Q144" s="226">
        <f ca="1" t="shared" si="47"/>
        <v>1.63333333333333</v>
      </c>
      <c r="R144" s="269">
        <f ca="1" t="shared" si="16"/>
        <v>0.248299484796977</v>
      </c>
      <c r="S144" s="266">
        <f ca="1" t="shared" si="17"/>
        <v>23.3264664762501</v>
      </c>
      <c r="T144" s="226">
        <f ca="1">(1+OFFSET('玩法产出(新)'!$C$18,MATCH(X144,'玩法产出(新)'!$B$19:$B$25,0),1)*(1-V144)+OFFSET('玩法产出(新)'!$C$18,1+MATCH(X144,'玩法产出(新)'!$B$19:$B$25,0),1)*(V144))^AA144*(1+OFFSET('玩法产出(新)'!$C$18,MATCH(X144,'玩法产出(新)'!$B$19:$B$25,0),3)*(1-V144)+OFFSET('玩法产出(新)'!$C$18,1+MATCH(X144,'玩法产出(新)'!$B$19:$B$25,0),3)*(V144))^AB144*(1+OFFSET('玩法产出(新)'!$C$18,MATCH(X144,'玩法产出(新)'!$B$19:$B$25,0),4)*(1-V144)+OFFSET('玩法产出(新)'!$C$18,1+MATCH(X144,'玩法产出(新)'!$B$19:$B$25,0),4)*(V144))^AC144*(1+OFFSET('玩法产出(新)'!$C$18,MATCH(X144,'玩法产出(新)'!$B$19:$B$25,0),5)*(1+V144)+OFFSET('玩法产出(新)'!$C$18,1+MATCH(X144,'玩法产出(新)'!$B$19:$B$25,5),1)*(V144))^AD144*(1+OFFSET('玩法产出(新)'!$C$18,MATCH(X144,'玩法产出(新)'!$B$19:$B$25,0),6)*(1+V144)+OFFSET('玩法产出(新)'!$C$18,1+MATCH(X144,'玩法产出(新)'!$B$19:$B$25,0),6)*(V144))^AE144</f>
        <v>4.84640501196529</v>
      </c>
      <c r="U144" s="226">
        <f ca="1" t="shared" si="36"/>
        <v>0.533462815144227</v>
      </c>
      <c r="V144" s="226">
        <f ca="1">COUNTIF($X$124:$X144,X144)/(COUNTIF($X$124:$X$723,X144)+1)</f>
        <v>0.0103092783505155</v>
      </c>
      <c r="W144" s="19">
        <v>30</v>
      </c>
      <c r="X144" s="19" t="str">
        <f ca="1" t="shared" si="18"/>
        <v>紫</v>
      </c>
      <c r="Y144" s="19">
        <f t="shared" si="45"/>
        <v>3260</v>
      </c>
      <c r="Z144" s="19">
        <f ca="1" t="shared" si="19"/>
        <v>1.50432989690722</v>
      </c>
      <c r="AA144" s="282">
        <f ca="1" t="shared" si="20"/>
        <v>26.280603125</v>
      </c>
      <c r="AB144" s="282">
        <f ca="1" t="shared" si="21"/>
        <v>2.9734375</v>
      </c>
      <c r="AC144" s="282">
        <f ca="1" t="shared" si="22"/>
        <v>0.56835</v>
      </c>
      <c r="AD144" s="282">
        <f ca="1" t="shared" si="23"/>
        <v>0.1420875</v>
      </c>
      <c r="AE144" s="282">
        <f ca="1" t="shared" si="24"/>
        <v>0.035521875</v>
      </c>
      <c r="AF144" s="19" t="str">
        <f t="shared" si="25"/>
        <v>红1</v>
      </c>
      <c r="AG144" s="19">
        <f>IFERROR(_xlfn.XLOOKUP(C144+1,[2]基因升级!$E$141:$E$500,[2]基因升级!$D$141:$D$500)-1,AG143)</f>
        <v>45</v>
      </c>
      <c r="AH144" s="19">
        <v>3</v>
      </c>
      <c r="AI144" s="19">
        <f t="shared" si="26"/>
        <v>5.14799958504964</v>
      </c>
      <c r="AJ144" s="19">
        <f t="shared" si="37"/>
        <v>0</v>
      </c>
      <c r="AK144" s="269">
        <v>1.41666666666667</v>
      </c>
      <c r="AQ144" s="19">
        <f t="shared" si="27"/>
        <v>1</v>
      </c>
      <c r="AR144" s="19">
        <f t="shared" si="28"/>
        <v>1</v>
      </c>
      <c r="AS144" s="19">
        <f t="shared" si="29"/>
        <v>1</v>
      </c>
      <c r="AT144" s="19">
        <f t="shared" si="30"/>
        <v>1</v>
      </c>
      <c r="AU144" s="19">
        <f t="shared" si="31"/>
        <v>1</v>
      </c>
    </row>
    <row r="145" spans="1:47">
      <c r="A145" s="279">
        <f ca="1">SUM($N$125:N145)</f>
        <v>10.1911201016116</v>
      </c>
      <c r="C145" s="19">
        <v>22</v>
      </c>
      <c r="D145" s="86">
        <f ca="1" t="shared" si="38"/>
        <v>68.4490638443049</v>
      </c>
      <c r="E145" s="251">
        <f ca="1" t="shared" si="15"/>
        <v>0.970556526640335</v>
      </c>
      <c r="F145" s="269">
        <f ca="1" t="shared" si="32"/>
        <v>47.2636700081712</v>
      </c>
      <c r="G145" s="283">
        <f ca="1" t="shared" si="43"/>
        <v>45.8720633994056</v>
      </c>
      <c r="H145" s="279">
        <f ca="1" t="shared" si="33"/>
        <v>0.847355556641013</v>
      </c>
      <c r="I145" s="269">
        <f ca="1">SUM($J$125:J145)/SUM($H$125:H145)</f>
        <v>0.715903710691466</v>
      </c>
      <c r="J145" s="284">
        <f t="shared" si="39"/>
        <v>0.548757997079388</v>
      </c>
      <c r="K145" s="19">
        <f t="shared" si="44"/>
        <v>3100</v>
      </c>
      <c r="L145" s="269">
        <f t="shared" si="34"/>
        <v>1.155</v>
      </c>
      <c r="M145" s="226">
        <f ca="1" t="shared" si="35"/>
        <v>2.75</v>
      </c>
      <c r="N145" s="280">
        <f ca="1" t="shared" si="40"/>
        <v>0.29859755956163</v>
      </c>
      <c r="O145" s="226">
        <f t="shared" si="48"/>
        <v>1.65</v>
      </c>
      <c r="P145" s="19">
        <f ca="1" t="shared" si="46"/>
        <v>7.66666666666666</v>
      </c>
      <c r="Q145" s="226">
        <f ca="1" t="shared" si="47"/>
        <v>1.66666666666667</v>
      </c>
      <c r="R145" s="269">
        <f ca="1" t="shared" si="16"/>
        <v>0.249610902341013</v>
      </c>
      <c r="S145" s="266">
        <f ca="1" t="shared" si="17"/>
        <v>23.4496674462494</v>
      </c>
      <c r="T145" s="226">
        <f ca="1">(1+OFFSET('玩法产出(新)'!$C$18,MATCH(X145,'玩法产出(新)'!$B$19:$B$25,0),1)*(1-V145)+OFFSET('玩法产出(新)'!$C$18,1+MATCH(X145,'玩法产出(新)'!$B$19:$B$25,0),1)*(V145))^AA145*(1+OFFSET('玩法产出(新)'!$C$18,MATCH(X145,'玩法产出(新)'!$B$19:$B$25,0),3)*(1-V145)+OFFSET('玩法产出(新)'!$C$18,1+MATCH(X145,'玩法产出(新)'!$B$19:$B$25,0),3)*(V145))^AB145*(1+OFFSET('玩法产出(新)'!$C$18,MATCH(X145,'玩法产出(新)'!$B$19:$B$25,0),4)*(1-V145)+OFFSET('玩法产出(新)'!$C$18,1+MATCH(X145,'玩法产出(新)'!$B$19:$B$25,0),4)*(V145))^AC145*(1+OFFSET('玩法产出(新)'!$C$18,MATCH(X145,'玩法产出(新)'!$B$19:$B$25,0),5)*(1+V145)+OFFSET('玩法产出(新)'!$C$18,1+MATCH(X145,'玩法产出(新)'!$B$19:$B$25,5),1)*(V145))^AD145*(1+OFFSET('玩法产出(新)'!$C$18,MATCH(X145,'玩法产出(新)'!$B$19:$B$25,0),6)*(1+V145)+OFFSET('玩法产出(新)'!$C$18,1+MATCH(X145,'玩法产出(新)'!$B$19:$B$25,0),6)*(V145))^AE145</f>
        <v>4.88697159823441</v>
      </c>
      <c r="U145" s="226">
        <f ca="1" t="shared" si="36"/>
        <v>0.123200969999317</v>
      </c>
      <c r="V145" s="226">
        <f ca="1">COUNTIF($X$124:$X145,X145)/(COUNTIF($X$124:$X$723,X145)+1)</f>
        <v>0.0206185567010309</v>
      </c>
      <c r="W145" s="19">
        <v>30</v>
      </c>
      <c r="X145" s="19" t="str">
        <f ca="1" t="shared" si="18"/>
        <v>紫</v>
      </c>
      <c r="Y145" s="19">
        <f t="shared" si="45"/>
        <v>3360</v>
      </c>
      <c r="Z145" s="19">
        <f ca="1" t="shared" si="19"/>
        <v>1.50865979381443</v>
      </c>
      <c r="AA145" s="282">
        <f ca="1" t="shared" si="20"/>
        <v>26.1808416666667</v>
      </c>
      <c r="AB145" s="282">
        <f ca="1" t="shared" si="21"/>
        <v>3.04583333333333</v>
      </c>
      <c r="AC145" s="282">
        <f ca="1" t="shared" si="22"/>
        <v>0.5892</v>
      </c>
      <c r="AD145" s="282">
        <f ca="1" t="shared" si="23"/>
        <v>0.1473</v>
      </c>
      <c r="AE145" s="282">
        <f ca="1" t="shared" si="24"/>
        <v>0.036825</v>
      </c>
      <c r="AF145" s="19" t="str">
        <f t="shared" si="25"/>
        <v>红1</v>
      </c>
      <c r="AG145" s="19">
        <f>IFERROR(_xlfn.XLOOKUP(C145+1,[2]基因升级!$E$141:$E$500,[2]基因升级!$D$141:$D$500)-1,AG144)</f>
        <v>45</v>
      </c>
      <c r="AH145" s="19">
        <v>3</v>
      </c>
      <c r="AI145" s="19">
        <f t="shared" si="26"/>
        <v>5.14799958504964</v>
      </c>
      <c r="AJ145" s="19">
        <f t="shared" si="37"/>
        <v>0</v>
      </c>
      <c r="AK145" s="269">
        <v>1.41666666666667</v>
      </c>
      <c r="AQ145" s="19">
        <f t="shared" si="27"/>
        <v>1</v>
      </c>
      <c r="AR145" s="19">
        <f t="shared" si="28"/>
        <v>1</v>
      </c>
      <c r="AS145" s="19">
        <f t="shared" si="29"/>
        <v>1</v>
      </c>
      <c r="AT145" s="19">
        <f t="shared" si="30"/>
        <v>1</v>
      </c>
      <c r="AU145" s="19">
        <f t="shared" si="31"/>
        <v>1</v>
      </c>
    </row>
    <row r="146" spans="1:47">
      <c r="A146" s="279">
        <f ca="1">SUM($N$125:N146)</f>
        <v>10.4838044478536</v>
      </c>
      <c r="C146" s="19">
        <v>23</v>
      </c>
      <c r="D146" s="86">
        <f ca="1" t="shared" si="38"/>
        <v>69.3994040268954</v>
      </c>
      <c r="E146" s="251">
        <f ca="1" t="shared" si="15"/>
        <v>0.950340182590496</v>
      </c>
      <c r="F146" s="269">
        <f ca="1" t="shared" si="32"/>
        <v>49.1380262699353</v>
      </c>
      <c r="G146" s="283">
        <f ca="1" t="shared" si="43"/>
        <v>46.6978408575069</v>
      </c>
      <c r="H146" s="279">
        <f ca="1" t="shared" si="33"/>
        <v>0.825777458101307</v>
      </c>
      <c r="I146" s="269">
        <f ca="1">SUM($J$125:J146)/SUM($H$125:H146)</f>
        <v>0.714320946331394</v>
      </c>
      <c r="J146" s="284">
        <f t="shared" si="39"/>
        <v>0.533093111859241</v>
      </c>
      <c r="K146" s="19">
        <f t="shared" si="44"/>
        <v>3200</v>
      </c>
      <c r="L146" s="269">
        <f t="shared" si="34"/>
        <v>1.16</v>
      </c>
      <c r="M146" s="226">
        <f ca="1" t="shared" si="35"/>
        <v>2.805</v>
      </c>
      <c r="N146" s="280">
        <f ca="1" t="shared" si="40"/>
        <v>0.292684346242055</v>
      </c>
      <c r="O146" s="226">
        <f t="shared" si="48"/>
        <v>1.65</v>
      </c>
      <c r="P146" s="19">
        <f ca="1" t="shared" si="46"/>
        <v>8</v>
      </c>
      <c r="Q146" s="226">
        <f ca="1" t="shared" si="47"/>
        <v>1.7</v>
      </c>
      <c r="R146" s="269">
        <f ca="1" t="shared" si="16"/>
        <v>0.25093681513398</v>
      </c>
      <c r="S146" s="266">
        <f ca="1" t="shared" si="17"/>
        <v>23.5742301707386</v>
      </c>
      <c r="T146" s="226">
        <f ca="1">(1+OFFSET('玩法产出(新)'!$C$18,MATCH(X146,'玩法产出(新)'!$B$19:$B$25,0),1)*(1-V146)+OFFSET('玩法产出(新)'!$C$18,1+MATCH(X146,'玩法产出(新)'!$B$19:$B$25,0),1)*(V146))^AA146*(1+OFFSET('玩法产出(新)'!$C$18,MATCH(X146,'玩法产出(新)'!$B$19:$B$25,0),3)*(1-V146)+OFFSET('玩法产出(新)'!$C$18,1+MATCH(X146,'玩法产出(新)'!$B$19:$B$25,0),3)*(V146))^AB146*(1+OFFSET('玩法产出(新)'!$C$18,MATCH(X146,'玩法产出(新)'!$B$19:$B$25,0),4)*(1-V146)+OFFSET('玩法产出(新)'!$C$18,1+MATCH(X146,'玩法产出(新)'!$B$19:$B$25,0),4)*(V146))^AC146*(1+OFFSET('玩法产出(新)'!$C$18,MATCH(X146,'玩法产出(新)'!$B$19:$B$25,0),5)*(1+V146)+OFFSET('玩法产出(新)'!$C$18,1+MATCH(X146,'玩法产出(新)'!$B$19:$B$25,5),1)*(V146))^AD146*(1+OFFSET('玩法产出(新)'!$C$18,MATCH(X146,'玩法产出(新)'!$B$19:$B$25,0),6)*(1+V146)+OFFSET('玩法产出(新)'!$C$18,1+MATCH(X146,'玩法产出(新)'!$B$19:$B$25,0),6)*(V146))^AE146</f>
        <v>4.92833179335988</v>
      </c>
      <c r="U146" s="226">
        <f ca="1" t="shared" si="36"/>
        <v>0.1245627244892</v>
      </c>
      <c r="V146" s="226">
        <f ca="1">COUNTIF($X$124:$X146,X146)/(COUNTIF($X$124:$X$723,X146)+1)</f>
        <v>0.0309278350515464</v>
      </c>
      <c r="W146" s="19">
        <v>30</v>
      </c>
      <c r="X146" s="19" t="str">
        <f ca="1" t="shared" si="18"/>
        <v>紫</v>
      </c>
      <c r="Y146" s="19">
        <f t="shared" si="45"/>
        <v>3460</v>
      </c>
      <c r="Z146" s="19">
        <f ca="1" t="shared" si="19"/>
        <v>1.51298969072165</v>
      </c>
      <c r="AA146" s="282">
        <f ca="1" t="shared" si="20"/>
        <v>26.0810802083333</v>
      </c>
      <c r="AB146" s="282">
        <f ca="1" t="shared" si="21"/>
        <v>3.11822916666667</v>
      </c>
      <c r="AC146" s="282">
        <f ca="1" t="shared" si="22"/>
        <v>0.61005</v>
      </c>
      <c r="AD146" s="282">
        <f ca="1" t="shared" si="23"/>
        <v>0.1525125</v>
      </c>
      <c r="AE146" s="282">
        <f ca="1" t="shared" si="24"/>
        <v>0.038128125</v>
      </c>
      <c r="AF146" s="19" t="str">
        <f t="shared" si="25"/>
        <v>红1</v>
      </c>
      <c r="AG146" s="19">
        <f>IFERROR(_xlfn.XLOOKUP(C146+1,[2]基因升级!$E$141:$E$500,[2]基因升级!$D$141:$D$500)-1,AG145)</f>
        <v>46</v>
      </c>
      <c r="AH146" s="19">
        <v>3</v>
      </c>
      <c r="AI146" s="19">
        <f t="shared" si="26"/>
        <v>5.14799958504964</v>
      </c>
      <c r="AJ146" s="19">
        <f t="shared" si="37"/>
        <v>0</v>
      </c>
      <c r="AK146" s="269">
        <v>1.41666666666667</v>
      </c>
      <c r="AQ146" s="19">
        <f t="shared" si="27"/>
        <v>1</v>
      </c>
      <c r="AR146" s="19">
        <f t="shared" si="28"/>
        <v>1</v>
      </c>
      <c r="AS146" s="19">
        <f t="shared" si="29"/>
        <v>1</v>
      </c>
      <c r="AT146" s="19">
        <f t="shared" si="30"/>
        <v>1</v>
      </c>
      <c r="AU146" s="19">
        <f t="shared" si="31"/>
        <v>1</v>
      </c>
    </row>
    <row r="147" spans="1:47">
      <c r="A147" s="279">
        <f ca="1">SUM($N$125:N147)</f>
        <v>10.7708052422106</v>
      </c>
      <c r="C147" s="19">
        <v>24</v>
      </c>
      <c r="D147" s="86">
        <f ca="1" t="shared" si="38"/>
        <v>70.3307040271755</v>
      </c>
      <c r="E147" s="251">
        <f ca="1" t="shared" si="15"/>
        <v>0.93130000028006</v>
      </c>
      <c r="F147" s="269">
        <f ca="1" t="shared" si="32"/>
        <v>51.0074298572319</v>
      </c>
      <c r="G147" s="283">
        <f ca="1" t="shared" si="43"/>
        <v>47.5032194403252</v>
      </c>
      <c r="H147" s="279">
        <f ca="1" t="shared" si="33"/>
        <v>0.805378582818356</v>
      </c>
      <c r="I147" s="269">
        <f ca="1">SUM($J$125:J147)/SUM($H$125:H147)</f>
        <v>0.712803183221403</v>
      </c>
      <c r="J147" s="284">
        <f t="shared" si="39"/>
        <v>0.518377788461414</v>
      </c>
      <c r="K147" s="19">
        <f t="shared" si="44"/>
        <v>3300</v>
      </c>
      <c r="L147" s="269">
        <f t="shared" si="34"/>
        <v>1.165</v>
      </c>
      <c r="M147" s="226">
        <f ca="1" t="shared" si="35"/>
        <v>2.86</v>
      </c>
      <c r="N147" s="280">
        <f ca="1" t="shared" si="40"/>
        <v>0.28700079435694</v>
      </c>
      <c r="O147" s="226">
        <f t="shared" si="48"/>
        <v>1.65</v>
      </c>
      <c r="P147" s="19">
        <f ca="1" t="shared" si="46"/>
        <v>8.33333333333333</v>
      </c>
      <c r="Q147" s="226">
        <f ca="1" t="shared" si="47"/>
        <v>1.73333333333333</v>
      </c>
      <c r="R147" s="269">
        <f ca="1" t="shared" si="16"/>
        <v>0.252277190587436</v>
      </c>
      <c r="S147" s="266">
        <f ca="1" t="shared" si="17"/>
        <v>23.7001515882003</v>
      </c>
      <c r="T147" s="226">
        <f ca="1">(1+OFFSET('玩法产出(新)'!$C$18,MATCH(X147,'玩法产出(新)'!$B$19:$B$25,0),1)*(1-V147)+OFFSET('玩法产出(新)'!$C$18,1+MATCH(X147,'玩法产出(新)'!$B$19:$B$25,0),1)*(V147))^AA147*(1+OFFSET('玩法产出(新)'!$C$18,MATCH(X147,'玩法产出(新)'!$B$19:$B$25,0),3)*(1-V147)+OFFSET('玩法产出(新)'!$C$18,1+MATCH(X147,'玩法产出(新)'!$B$19:$B$25,0),3)*(V147))^AB147*(1+OFFSET('玩法产出(新)'!$C$18,MATCH(X147,'玩法产出(新)'!$B$19:$B$25,0),4)*(1-V147)+OFFSET('玩法产出(新)'!$C$18,1+MATCH(X147,'玩法产出(新)'!$B$19:$B$25,0),4)*(V147))^AC147*(1+OFFSET('玩法产出(新)'!$C$18,MATCH(X147,'玩法产出(新)'!$B$19:$B$25,0),5)*(1+V147)+OFFSET('玩法产出(新)'!$C$18,1+MATCH(X147,'玩法产出(新)'!$B$19:$B$25,5),1)*(V147))^AD147*(1+OFFSET('玩法产出(新)'!$C$18,MATCH(X147,'玩法产出(新)'!$B$19:$B$25,0),6)*(1+V147)+OFFSET('玩法产出(新)'!$C$18,1+MATCH(X147,'玩法产出(新)'!$B$19:$B$25,0),6)*(V147))^AE147</f>
        <v>4.9704989383615</v>
      </c>
      <c r="U147" s="226">
        <f ca="1" t="shared" si="36"/>
        <v>0.125921417461705</v>
      </c>
      <c r="V147" s="226">
        <f ca="1">COUNTIF($X$124:$X147,X147)/(COUNTIF($X$124:$X$723,X147)+1)</f>
        <v>0.0412371134020619</v>
      </c>
      <c r="W147" s="19">
        <v>30</v>
      </c>
      <c r="X147" s="19" t="str">
        <f ca="1" t="shared" si="18"/>
        <v>紫</v>
      </c>
      <c r="Y147" s="19">
        <f t="shared" si="45"/>
        <v>3560</v>
      </c>
      <c r="Z147" s="19">
        <f ca="1" t="shared" si="19"/>
        <v>1.51731958762887</v>
      </c>
      <c r="AA147" s="282">
        <f ca="1" t="shared" si="20"/>
        <v>25.98131875</v>
      </c>
      <c r="AB147" s="282">
        <f ca="1" t="shared" si="21"/>
        <v>3.190625</v>
      </c>
      <c r="AC147" s="282">
        <f ca="1" t="shared" si="22"/>
        <v>0.6309</v>
      </c>
      <c r="AD147" s="282">
        <f ca="1" t="shared" si="23"/>
        <v>0.157725</v>
      </c>
      <c r="AE147" s="282">
        <f ca="1" t="shared" si="24"/>
        <v>0.03943125</v>
      </c>
      <c r="AF147" s="19" t="str">
        <f t="shared" si="25"/>
        <v>红1</v>
      </c>
      <c r="AG147" s="19">
        <f>IFERROR(_xlfn.XLOOKUP(C147+1,[2]基因升级!$E$141:$E$500,[2]基因升级!$D$141:$D$500)-1,AG146)</f>
        <v>47</v>
      </c>
      <c r="AH147" s="19">
        <v>3</v>
      </c>
      <c r="AI147" s="19">
        <f t="shared" si="26"/>
        <v>5.14799958504964</v>
      </c>
      <c r="AJ147" s="19">
        <f t="shared" si="37"/>
        <v>0</v>
      </c>
      <c r="AK147" s="269">
        <v>1.41666666666667</v>
      </c>
      <c r="AQ147" s="19">
        <f t="shared" si="27"/>
        <v>1</v>
      </c>
      <c r="AR147" s="19">
        <f t="shared" si="28"/>
        <v>1</v>
      </c>
      <c r="AS147" s="19">
        <f t="shared" si="29"/>
        <v>1</v>
      </c>
      <c r="AT147" s="19">
        <f t="shared" si="30"/>
        <v>1</v>
      </c>
      <c r="AU147" s="19">
        <f t="shared" si="31"/>
        <v>1</v>
      </c>
    </row>
    <row r="148" spans="1:47">
      <c r="A148" s="279">
        <f ca="1">SUM($N$125:N148)</f>
        <v>11.0523390209716</v>
      </c>
      <c r="C148" s="19">
        <v>25</v>
      </c>
      <c r="D148" s="86">
        <f ca="1" t="shared" si="38"/>
        <v>71.2440420166256</v>
      </c>
      <c r="E148" s="251">
        <f ca="1" t="shared" si="15"/>
        <v>0.913337989450139</v>
      </c>
      <c r="F148" s="269">
        <f ca="1" t="shared" si="32"/>
        <v>52.8712053201741</v>
      </c>
      <c r="G148" s="283">
        <f ca="1" t="shared" si="43"/>
        <v>48.2892803669333</v>
      </c>
      <c r="H148" s="279">
        <f ca="1" t="shared" si="33"/>
        <v>0.786060926608059</v>
      </c>
      <c r="I148" s="269">
        <f ca="1">SUM($J$125:J148)/SUM($H$125:H148)</f>
        <v>0.711346389510198</v>
      </c>
      <c r="J148" s="284">
        <f t="shared" si="39"/>
        <v>0.504527147847078</v>
      </c>
      <c r="K148" s="19">
        <f t="shared" si="44"/>
        <v>3400</v>
      </c>
      <c r="L148" s="269">
        <f t="shared" si="34"/>
        <v>1.17</v>
      </c>
      <c r="M148" s="226">
        <f ca="1" t="shared" si="35"/>
        <v>2.915</v>
      </c>
      <c r="N148" s="280">
        <f ca="1" t="shared" si="40"/>
        <v>0.281533778760984</v>
      </c>
      <c r="O148" s="226">
        <f t="shared" si="48"/>
        <v>1.65</v>
      </c>
      <c r="P148" s="19">
        <f ca="1" t="shared" si="46"/>
        <v>8.66666666666666</v>
      </c>
      <c r="Q148" s="226">
        <f ca="1" t="shared" si="47"/>
        <v>1.76666666666667</v>
      </c>
      <c r="R148" s="269">
        <f ca="1" t="shared" si="16"/>
        <v>0.253631996261169</v>
      </c>
      <c r="S148" s="266">
        <f ca="1" t="shared" si="17"/>
        <v>23.8274286510424</v>
      </c>
      <c r="T148" s="226">
        <f ca="1">(1+OFFSET('玩法产出(新)'!$C$18,MATCH(X148,'玩法产出(新)'!$B$19:$B$25,0),1)*(1-V148)+OFFSET('玩法产出(新)'!$C$18,1+MATCH(X148,'玩法产出(新)'!$B$19:$B$25,0),1)*(V148))^AA148*(1+OFFSET('玩法产出(新)'!$C$18,MATCH(X148,'玩法产出(新)'!$B$19:$B$25,0),3)*(1-V148)+OFFSET('玩法产出(新)'!$C$18,1+MATCH(X148,'玩法产出(新)'!$B$19:$B$25,0),3)*(V148))^AB148*(1+OFFSET('玩法产出(新)'!$C$18,MATCH(X148,'玩法产出(新)'!$B$19:$B$25,0),4)*(1-V148)+OFFSET('玩法产出(新)'!$C$18,1+MATCH(X148,'玩法产出(新)'!$B$19:$B$25,0),4)*(V148))^AC148*(1+OFFSET('玩法产出(新)'!$C$18,MATCH(X148,'玩法产出(新)'!$B$19:$B$25,0),5)*(1+V148)+OFFSET('玩法产出(新)'!$C$18,1+MATCH(X148,'玩法产出(新)'!$B$19:$B$25,5),1)*(V148))^AD148*(1+OFFSET('玩法产出(新)'!$C$18,MATCH(X148,'玩法产出(新)'!$B$19:$B$25,0),6)*(1+V148)+OFFSET('玩法产出(新)'!$C$18,1+MATCH(X148,'玩法产出(新)'!$B$19:$B$25,0),6)*(V148))^AE148</f>
        <v>5.01348668994694</v>
      </c>
      <c r="U148" s="226">
        <f ca="1" t="shared" si="36"/>
        <v>0.127277062842077</v>
      </c>
      <c r="V148" s="226">
        <f ca="1">COUNTIF($X$124:$X148,X148)/(COUNTIF($X$124:$X$723,X148)+1)</f>
        <v>0.0515463917525773</v>
      </c>
      <c r="W148" s="19">
        <v>30</v>
      </c>
      <c r="X148" s="19" t="str">
        <f ca="1" t="shared" si="18"/>
        <v>紫</v>
      </c>
      <c r="Y148" s="19">
        <f t="shared" si="45"/>
        <v>3660</v>
      </c>
      <c r="Z148" s="19">
        <f ca="1" t="shared" si="19"/>
        <v>1.52164948453608</v>
      </c>
      <c r="AA148" s="282">
        <f ca="1" t="shared" si="20"/>
        <v>25.8815572916667</v>
      </c>
      <c r="AB148" s="282">
        <f ca="1" t="shared" si="21"/>
        <v>3.26302083333333</v>
      </c>
      <c r="AC148" s="282">
        <f ca="1" t="shared" si="22"/>
        <v>0.65175</v>
      </c>
      <c r="AD148" s="282">
        <f ca="1" t="shared" si="23"/>
        <v>0.1629375</v>
      </c>
      <c r="AE148" s="282">
        <f ca="1" t="shared" si="24"/>
        <v>0.040734375</v>
      </c>
      <c r="AF148" s="19" t="str">
        <f t="shared" si="25"/>
        <v>红1</v>
      </c>
      <c r="AG148" s="19">
        <f>IFERROR(_xlfn.XLOOKUP(C148+1,[2]基因升级!$E$141:$E$500,[2]基因升级!$D$141:$D$500)-1,AG147)</f>
        <v>48</v>
      </c>
      <c r="AH148" s="19">
        <v>3</v>
      </c>
      <c r="AI148" s="19">
        <f t="shared" si="26"/>
        <v>5.14799958504964</v>
      </c>
      <c r="AJ148" s="19">
        <f t="shared" si="37"/>
        <v>0</v>
      </c>
      <c r="AK148" s="269">
        <v>1.41666666666667</v>
      </c>
      <c r="AQ148" s="19">
        <f t="shared" si="27"/>
        <v>1</v>
      </c>
      <c r="AR148" s="19">
        <f t="shared" si="28"/>
        <v>1</v>
      </c>
      <c r="AS148" s="19">
        <f t="shared" si="29"/>
        <v>1</v>
      </c>
      <c r="AT148" s="19">
        <f t="shared" si="30"/>
        <v>1</v>
      </c>
      <c r="AU148" s="19">
        <f t="shared" si="31"/>
        <v>1</v>
      </c>
    </row>
    <row r="149" spans="1:47">
      <c r="A149" s="279">
        <f ca="1">SUM($N$125:N149)</f>
        <v>11.3286101767483</v>
      </c>
      <c r="C149" s="19">
        <v>26</v>
      </c>
      <c r="D149" s="86">
        <f ca="1" t="shared" si="38"/>
        <v>72.1404089995167</v>
      </c>
      <c r="E149" s="251">
        <f ca="1" t="shared" si="15"/>
        <v>0.896366982891048</v>
      </c>
      <c r="F149" s="269">
        <f ca="1" t="shared" si="32"/>
        <v>54.7287200574348</v>
      </c>
      <c r="G149" s="283">
        <f ca="1" t="shared" si="43"/>
        <v>49.0570176753716</v>
      </c>
      <c r="H149" s="279">
        <f ca="1" t="shared" si="33"/>
        <v>0.767737308438342</v>
      </c>
      <c r="I149" s="269">
        <f ca="1">SUM($J$125:J149)/SUM($H$125:H149)</f>
        <v>0.709946871240713</v>
      </c>
      <c r="J149" s="284">
        <f t="shared" si="39"/>
        <v>0.491466152661602</v>
      </c>
      <c r="K149" s="19">
        <f t="shared" si="44"/>
        <v>3500</v>
      </c>
      <c r="L149" s="269">
        <f t="shared" si="34"/>
        <v>1.175</v>
      </c>
      <c r="M149" s="226">
        <f ca="1" t="shared" si="35"/>
        <v>2.97</v>
      </c>
      <c r="N149" s="280">
        <f ca="1" t="shared" si="40"/>
        <v>0.276271155776733</v>
      </c>
      <c r="O149" s="226">
        <f t="shared" si="48"/>
        <v>1.65</v>
      </c>
      <c r="P149" s="19">
        <f ca="1" t="shared" si="46"/>
        <v>8.99999999999999</v>
      </c>
      <c r="Q149" s="226">
        <f ca="1" t="shared" si="47"/>
        <v>1.8</v>
      </c>
      <c r="R149" s="269">
        <f ca="1" t="shared" si="16"/>
        <v>0.255001199862097</v>
      </c>
      <c r="S149" s="266">
        <f ca="1" t="shared" si="17"/>
        <v>23.9560583254951</v>
      </c>
      <c r="T149" s="226">
        <f ca="1">(1+OFFSET('玩法产出(新)'!$C$18,MATCH(X149,'玩法产出(新)'!$B$19:$B$25,0),1)*(1-V149)+OFFSET('玩法产出(新)'!$C$18,1+MATCH(X149,'玩法产出(新)'!$B$19:$B$25,0),1)*(V149))^AA149*(1+OFFSET('玩法产出(新)'!$C$18,MATCH(X149,'玩法产出(新)'!$B$19:$B$25,0),3)*(1-V149)+OFFSET('玩法产出(新)'!$C$18,1+MATCH(X149,'玩法产出(新)'!$B$19:$B$25,0),3)*(V149))^AB149*(1+OFFSET('玩法产出(新)'!$C$18,MATCH(X149,'玩法产出(新)'!$B$19:$B$25,0),4)*(1-V149)+OFFSET('玩法产出(新)'!$C$18,1+MATCH(X149,'玩法产出(新)'!$B$19:$B$25,0),4)*(V149))^AC149*(1+OFFSET('玩法产出(新)'!$C$18,MATCH(X149,'玩法产出(新)'!$B$19:$B$25,0),5)*(1+V149)+OFFSET('玩法产出(新)'!$C$18,1+MATCH(X149,'玩法产出(新)'!$B$19:$B$25,5),1)*(V149))^AD149*(1+OFFSET('玩法产出(新)'!$C$18,MATCH(X149,'玩法产出(新)'!$B$19:$B$25,0),6)*(1+V149)+OFFSET('玩法产出(新)'!$C$18,1+MATCH(X149,'玩法产出(新)'!$B$19:$B$25,0),6)*(V149))^AE149</f>
        <v>5.05730902736394</v>
      </c>
      <c r="U149" s="226">
        <f ca="1" t="shared" si="36"/>
        <v>0.128629674452713</v>
      </c>
      <c r="V149" s="226">
        <f ca="1">COUNTIF($X$124:$X149,X149)/(COUNTIF($X$124:$X$723,X149)+1)</f>
        <v>0.0618556701030928</v>
      </c>
      <c r="W149" s="19">
        <v>30</v>
      </c>
      <c r="X149" s="19" t="str">
        <f ca="1" t="shared" si="18"/>
        <v>紫</v>
      </c>
      <c r="Y149" s="19">
        <f t="shared" si="45"/>
        <v>3760</v>
      </c>
      <c r="Z149" s="19">
        <f ca="1" t="shared" si="19"/>
        <v>1.5259793814433</v>
      </c>
      <c r="AA149" s="282">
        <f ca="1" t="shared" si="20"/>
        <v>25.7817958333333</v>
      </c>
      <c r="AB149" s="282">
        <f ca="1" t="shared" si="21"/>
        <v>3.33541666666667</v>
      </c>
      <c r="AC149" s="282">
        <f ca="1" t="shared" si="22"/>
        <v>0.6726</v>
      </c>
      <c r="AD149" s="282">
        <f ca="1" t="shared" si="23"/>
        <v>0.16815</v>
      </c>
      <c r="AE149" s="282">
        <f ca="1" t="shared" si="24"/>
        <v>0.0420375</v>
      </c>
      <c r="AF149" s="19" t="str">
        <f t="shared" si="25"/>
        <v>红1</v>
      </c>
      <c r="AG149" s="19">
        <f>IFERROR(_xlfn.XLOOKUP(C149+1,[2]基因升级!$E$141:$E$500,[2]基因升级!$D$141:$D$500)-1,AG148)</f>
        <v>48</v>
      </c>
      <c r="AH149" s="19">
        <v>3</v>
      </c>
      <c r="AI149" s="19">
        <f t="shared" si="26"/>
        <v>5.14799958504964</v>
      </c>
      <c r="AJ149" s="19">
        <f t="shared" si="37"/>
        <v>0</v>
      </c>
      <c r="AK149" s="269">
        <v>1.41666666666667</v>
      </c>
      <c r="AQ149" s="19">
        <f t="shared" si="27"/>
        <v>1</v>
      </c>
      <c r="AR149" s="19">
        <f t="shared" si="28"/>
        <v>1</v>
      </c>
      <c r="AS149" s="19">
        <f t="shared" si="29"/>
        <v>1</v>
      </c>
      <c r="AT149" s="19">
        <f t="shared" si="30"/>
        <v>1</v>
      </c>
      <c r="AU149" s="19">
        <f t="shared" si="31"/>
        <v>1</v>
      </c>
    </row>
    <row r="150" spans="1:47">
      <c r="A150" s="279">
        <f ca="1">SUM($N$125:N150)</f>
        <v>11.599811849884</v>
      </c>
      <c r="C150" s="19">
        <v>27</v>
      </c>
      <c r="D150" s="86">
        <f ca="1" t="shared" si="38"/>
        <v>73.0207181592177</v>
      </c>
      <c r="E150" s="251">
        <f ca="1" t="shared" si="15"/>
        <v>0.880309159701048</v>
      </c>
      <c r="F150" s="269">
        <f ca="1" t="shared" si="32"/>
        <v>56.5793812550728</v>
      </c>
      <c r="G150" s="283">
        <f ca="1" t="shared" si="43"/>
        <v>49.8073475690583</v>
      </c>
      <c r="H150" s="279">
        <f ca="1" t="shared" si="33"/>
        <v>0.750329893686704</v>
      </c>
      <c r="I150" s="269">
        <f ca="1">SUM($J$125:J150)/SUM($H$125:H150)</f>
        <v>0.708601236750063</v>
      </c>
      <c r="J150" s="284">
        <f t="shared" si="39"/>
        <v>0.479128220551043</v>
      </c>
      <c r="K150" s="19">
        <f t="shared" si="44"/>
        <v>3600</v>
      </c>
      <c r="L150" s="269">
        <f t="shared" si="34"/>
        <v>1.18</v>
      </c>
      <c r="M150" s="226">
        <f ca="1" t="shared" si="35"/>
        <v>3.025</v>
      </c>
      <c r="N150" s="280">
        <f ca="1" t="shared" si="40"/>
        <v>0.271201673135666</v>
      </c>
      <c r="O150" s="226">
        <f t="shared" si="48"/>
        <v>1.65</v>
      </c>
      <c r="P150" s="19">
        <f ca="1" t="shared" si="46"/>
        <v>9.33333333333333</v>
      </c>
      <c r="Q150" s="226">
        <f ca="1" t="shared" si="47"/>
        <v>1.83333333333333</v>
      </c>
      <c r="R150" s="269">
        <f ca="1" t="shared" si="16"/>
        <v>0.256384769243191</v>
      </c>
      <c r="S150" s="266">
        <f ca="1" t="shared" si="17"/>
        <v>24.0860375915094</v>
      </c>
      <c r="T150" s="226">
        <f ca="1">(1+OFFSET('玩法产出(新)'!$C$18,MATCH(X150,'玩法产出(新)'!$B$19:$B$25,0),1)*(1-V150)+OFFSET('玩法产出(新)'!$C$18,1+MATCH(X150,'玩法产出(新)'!$B$19:$B$25,0),1)*(V150))^AA150*(1+OFFSET('玩法产出(新)'!$C$18,MATCH(X150,'玩法产出(新)'!$B$19:$B$25,0),3)*(1-V150)+OFFSET('玩法产出(新)'!$C$18,1+MATCH(X150,'玩法产出(新)'!$B$19:$B$25,0),3)*(V150))^AB150*(1+OFFSET('玩法产出(新)'!$C$18,MATCH(X150,'玩法产出(新)'!$B$19:$B$25,0),4)*(1-V150)+OFFSET('玩法产出(新)'!$C$18,1+MATCH(X150,'玩法产出(新)'!$B$19:$B$25,0),4)*(V150))^AC150*(1+OFFSET('玩法产出(新)'!$C$18,MATCH(X150,'玩法产出(新)'!$B$19:$B$25,0),5)*(1+V150)+OFFSET('玩法产出(新)'!$C$18,1+MATCH(X150,'玩法产出(新)'!$B$19:$B$25,5),1)*(V150))^AD150*(1+OFFSET('玩法产出(新)'!$C$18,MATCH(X150,'玩法产出(新)'!$B$19:$B$25,0),6)*(1+V150)+OFFSET('玩法产出(新)'!$C$18,1+MATCH(X150,'玩法产出(新)'!$B$19:$B$25,0),6)*(V150))^AE150</f>
        <v>5.101980259438</v>
      </c>
      <c r="U150" s="226">
        <f ca="1" t="shared" si="36"/>
        <v>0.129979266014339</v>
      </c>
      <c r="V150" s="226">
        <f ca="1">COUNTIF($X$124:$X150,X150)/(COUNTIF($X$124:$X$723,X150)+1)</f>
        <v>0.0721649484536082</v>
      </c>
      <c r="W150" s="19">
        <v>30</v>
      </c>
      <c r="X150" s="19" t="str">
        <f ca="1" t="shared" si="18"/>
        <v>紫</v>
      </c>
      <c r="Y150" s="19">
        <f t="shared" si="45"/>
        <v>3860</v>
      </c>
      <c r="Z150" s="19">
        <f ca="1" t="shared" si="19"/>
        <v>1.53030927835052</v>
      </c>
      <c r="AA150" s="282">
        <f ca="1" t="shared" si="20"/>
        <v>25.682034375</v>
      </c>
      <c r="AB150" s="282">
        <f ca="1" t="shared" si="21"/>
        <v>3.4078125</v>
      </c>
      <c r="AC150" s="282">
        <f ca="1" t="shared" si="22"/>
        <v>0.69345</v>
      </c>
      <c r="AD150" s="282">
        <f ca="1" t="shared" si="23"/>
        <v>0.1733625</v>
      </c>
      <c r="AE150" s="282">
        <f ca="1" t="shared" si="24"/>
        <v>0.043340625</v>
      </c>
      <c r="AF150" s="19" t="str">
        <f t="shared" si="25"/>
        <v>红1</v>
      </c>
      <c r="AG150" s="19">
        <f>IFERROR(_xlfn.XLOOKUP(C150+1,[2]基因升级!$E$141:$E$500,[2]基因升级!$D$141:$D$500)-1,AG149)</f>
        <v>49</v>
      </c>
      <c r="AH150" s="19">
        <v>3</v>
      </c>
      <c r="AI150" s="19">
        <f t="shared" si="26"/>
        <v>5.14799958504964</v>
      </c>
      <c r="AJ150" s="19">
        <f t="shared" si="37"/>
        <v>0</v>
      </c>
      <c r="AK150" s="269">
        <v>1.41666666666667</v>
      </c>
      <c r="AQ150" s="19">
        <f t="shared" si="27"/>
        <v>1</v>
      </c>
      <c r="AR150" s="19">
        <f t="shared" si="28"/>
        <v>1</v>
      </c>
      <c r="AS150" s="19">
        <f t="shared" si="29"/>
        <v>1</v>
      </c>
      <c r="AT150" s="19">
        <f t="shared" si="30"/>
        <v>1</v>
      </c>
      <c r="AU150" s="19">
        <f t="shared" si="31"/>
        <v>1</v>
      </c>
    </row>
    <row r="151" spans="1:47">
      <c r="A151" s="279">
        <f ca="1">SUM($N$125:N151)</f>
        <v>11.8661267395414</v>
      </c>
      <c r="C151" s="19">
        <v>28</v>
      </c>
      <c r="D151" s="86">
        <f ca="1" t="shared" si="38"/>
        <v>73.8858129655564</v>
      </c>
      <c r="E151" s="251">
        <f ca="1" t="shared" si="15"/>
        <v>0.865094806338697</v>
      </c>
      <c r="F151" s="269">
        <f ca="1" t="shared" si="32"/>
        <v>58.4226331656677</v>
      </c>
      <c r="G151" s="283">
        <f ca="1" t="shared" si="43"/>
        <v>50.5411165242501</v>
      </c>
      <c r="H151" s="279">
        <f ca="1" t="shared" si="33"/>
        <v>0.733768955191707</v>
      </c>
      <c r="I151" s="269">
        <f ca="1">SUM($J$125:J151)/SUM($H$125:H151)</f>
        <v>0.707306365564854</v>
      </c>
      <c r="J151" s="284">
        <f t="shared" si="39"/>
        <v>0.467454065534216</v>
      </c>
      <c r="K151" s="19">
        <f t="shared" si="44"/>
        <v>3700</v>
      </c>
      <c r="L151" s="269">
        <f t="shared" si="34"/>
        <v>1.185</v>
      </c>
      <c r="M151" s="226">
        <f ca="1" t="shared" si="35"/>
        <v>3.08</v>
      </c>
      <c r="N151" s="280">
        <f ca="1" t="shared" si="40"/>
        <v>0.26631488965748</v>
      </c>
      <c r="O151" s="226">
        <f t="shared" si="48"/>
        <v>1.65</v>
      </c>
      <c r="P151" s="19">
        <f ca="1" t="shared" si="46"/>
        <v>9.66666666666666</v>
      </c>
      <c r="Q151" s="226">
        <f ca="1" t="shared" si="47"/>
        <v>1.86666666666667</v>
      </c>
      <c r="R151" s="269">
        <f ca="1" t="shared" si="16"/>
        <v>0.2577826724024</v>
      </c>
      <c r="S151" s="266">
        <f ca="1" t="shared" si="17"/>
        <v>24.2173634426564</v>
      </c>
      <c r="T151" s="226">
        <f ca="1">(1+OFFSET('玩法产出(新)'!$C$18,MATCH(X151,'玩法产出(新)'!$B$19:$B$25,0),1)*(1-V151)+OFFSET('玩法产出(新)'!$C$18,1+MATCH(X151,'玩法产出(新)'!$B$19:$B$25,0),1)*(V151))^AA151*(1+OFFSET('玩法产出(新)'!$C$18,MATCH(X151,'玩法产出(新)'!$B$19:$B$25,0),3)*(1-V151)+OFFSET('玩法产出(新)'!$C$18,1+MATCH(X151,'玩法产出(新)'!$B$19:$B$25,0),3)*(V151))^AB151*(1+OFFSET('玩法产出(新)'!$C$18,MATCH(X151,'玩法产出(新)'!$B$19:$B$25,0),4)*(1-V151)+OFFSET('玩法产出(新)'!$C$18,1+MATCH(X151,'玩法产出(新)'!$B$19:$B$25,0),4)*(V151))^AC151*(1+OFFSET('玩法产出(新)'!$C$18,MATCH(X151,'玩法产出(新)'!$B$19:$B$25,0),5)*(1+V151)+OFFSET('玩法产出(新)'!$C$18,1+MATCH(X151,'玩法产出(新)'!$B$19:$B$25,5),1)*(V151))^AD151*(1+OFFSET('玩法产出(新)'!$C$18,MATCH(X151,'玩法产出(新)'!$B$19:$B$25,0),6)*(1+V151)+OFFSET('玩法产出(新)'!$C$18,1+MATCH(X151,'玩法产出(新)'!$B$19:$B$25,0),6)*(V151))^AE151</f>
        <v>5.14751503180035</v>
      </c>
      <c r="U151" s="226">
        <f ca="1" t="shared" si="36"/>
        <v>0.131325851147002</v>
      </c>
      <c r="V151" s="226">
        <f ca="1">COUNTIF($X$124:$X151,X151)/(COUNTIF($X$124:$X$723,X151)+1)</f>
        <v>0.0824742268041237</v>
      </c>
      <c r="W151" s="19">
        <v>30</v>
      </c>
      <c r="X151" s="19" t="str">
        <f ca="1" t="shared" si="18"/>
        <v>紫</v>
      </c>
      <c r="Y151" s="19">
        <f t="shared" si="45"/>
        <v>3960</v>
      </c>
      <c r="Z151" s="19">
        <f ca="1" t="shared" si="19"/>
        <v>1.53463917525773</v>
      </c>
      <c r="AA151" s="282">
        <f ca="1" t="shared" si="20"/>
        <v>25.5822729166667</v>
      </c>
      <c r="AB151" s="282">
        <f ca="1" t="shared" si="21"/>
        <v>3.48020833333333</v>
      </c>
      <c r="AC151" s="282">
        <f ca="1" t="shared" si="22"/>
        <v>0.7143</v>
      </c>
      <c r="AD151" s="282">
        <f ca="1" t="shared" si="23"/>
        <v>0.178575</v>
      </c>
      <c r="AE151" s="282">
        <f ca="1" t="shared" si="24"/>
        <v>0.04464375</v>
      </c>
      <c r="AF151" s="19" t="str">
        <f t="shared" si="25"/>
        <v>红1</v>
      </c>
      <c r="AG151" s="19">
        <f>IFERROR(_xlfn.XLOOKUP(C151+1,[2]基因升级!$E$141:$E$500,[2]基因升级!$D$141:$D$500)-1,AG150)</f>
        <v>49</v>
      </c>
      <c r="AH151" s="19">
        <v>3</v>
      </c>
      <c r="AI151" s="19">
        <f t="shared" si="26"/>
        <v>5.14799958504964</v>
      </c>
      <c r="AJ151" s="19">
        <f t="shared" si="37"/>
        <v>0</v>
      </c>
      <c r="AK151" s="269">
        <v>1.41666666666667</v>
      </c>
      <c r="AQ151" s="19">
        <f t="shared" si="27"/>
        <v>1</v>
      </c>
      <c r="AR151" s="19">
        <f t="shared" si="28"/>
        <v>1</v>
      </c>
      <c r="AS151" s="19">
        <f t="shared" si="29"/>
        <v>1</v>
      </c>
      <c r="AT151" s="19">
        <f t="shared" si="30"/>
        <v>1</v>
      </c>
      <c r="AU151" s="19">
        <f t="shared" si="31"/>
        <v>1</v>
      </c>
    </row>
    <row r="152" spans="1:47">
      <c r="A152" s="279">
        <f ca="1">SUM($N$125:N152)</f>
        <v>12.127727843002</v>
      </c>
      <c r="C152" s="19">
        <v>29</v>
      </c>
      <c r="D152" s="86">
        <f ca="1" t="shared" si="38"/>
        <v>74.736474237226</v>
      </c>
      <c r="E152" s="251">
        <f ca="1" t="shared" si="15"/>
        <v>0.850661271669544</v>
      </c>
      <c r="F152" s="269">
        <f ca="1" t="shared" si="32"/>
        <v>60.2579546755961</v>
      </c>
      <c r="G152" s="283">
        <f ca="1" t="shared" si="43"/>
        <v>51.2591083525483</v>
      </c>
      <c r="H152" s="279">
        <f ca="1" t="shared" si="33"/>
        <v>0.717991828298288</v>
      </c>
      <c r="I152" s="269">
        <f ca="1">SUM($J$125:J152)/SUM($H$125:H152)</f>
        <v>0.70605938113413</v>
      </c>
      <c r="J152" s="284">
        <f t="shared" si="39"/>
        <v>0.456390724837725</v>
      </c>
      <c r="K152" s="19">
        <f t="shared" si="44"/>
        <v>3800</v>
      </c>
      <c r="L152" s="269">
        <f t="shared" si="34"/>
        <v>1.19</v>
      </c>
      <c r="M152" s="226">
        <f ca="1" t="shared" si="35"/>
        <v>3.135</v>
      </c>
      <c r="N152" s="280">
        <f ca="1" t="shared" si="40"/>
        <v>0.261601103460571</v>
      </c>
      <c r="O152" s="226">
        <f t="shared" si="48"/>
        <v>1.65</v>
      </c>
      <c r="P152" s="295">
        <f ca="1" t="shared" si="46"/>
        <v>9.99999999999999</v>
      </c>
      <c r="Q152" s="226">
        <f ca="1" t="shared" si="47"/>
        <v>1.9</v>
      </c>
      <c r="R152" s="269">
        <f ca="1" t="shared" si="16"/>
        <v>0.259194877481592</v>
      </c>
      <c r="S152" s="266">
        <f ca="1" t="shared" si="17"/>
        <v>24.3500328860277</v>
      </c>
      <c r="T152" s="226">
        <f ca="1">(1+OFFSET('玩法产出(新)'!$C$18,MATCH(X152,'玩法产出(新)'!$B$19:$B$25,0),1)*(1-V152)+OFFSET('玩法产出(新)'!$C$18,1+MATCH(X152,'玩法产出(新)'!$B$19:$B$25,0),1)*(V152))^AA152*(1+OFFSET('玩法产出(新)'!$C$18,MATCH(X152,'玩法产出(新)'!$B$19:$B$25,0),3)*(1-V152)+OFFSET('玩法产出(新)'!$C$18,1+MATCH(X152,'玩法产出(新)'!$B$19:$B$25,0),3)*(V152))^AB152*(1+OFFSET('玩法产出(新)'!$C$18,MATCH(X152,'玩法产出(新)'!$B$19:$B$25,0),4)*(1-V152)+OFFSET('玩法产出(新)'!$C$18,1+MATCH(X152,'玩法产出(新)'!$B$19:$B$25,0),4)*(V152))^AC152*(1+OFFSET('玩法产出(新)'!$C$18,MATCH(X152,'玩法产出(新)'!$B$19:$B$25,0),5)*(1+V152)+OFFSET('玩法产出(新)'!$C$18,1+MATCH(X152,'玩法产出(新)'!$B$19:$B$25,5),1)*(V152))^AD152*(1+OFFSET('玩法产出(新)'!$C$18,MATCH(X152,'玩法产出(新)'!$B$19:$B$25,0),6)*(1+V152)+OFFSET('玩法产出(新)'!$C$18,1+MATCH(X152,'玩法产出(新)'!$B$19:$B$25,0),6)*(V152))^AE152</f>
        <v>5.19392833431101</v>
      </c>
      <c r="U152" s="226">
        <f ca="1" t="shared" si="36"/>
        <v>0.132669443371249</v>
      </c>
      <c r="V152" s="226">
        <f ca="1">COUNTIF($X$124:$X152,X152)/(COUNTIF($X$124:$X$723,X152)+1)</f>
        <v>0.0927835051546392</v>
      </c>
      <c r="W152" s="19">
        <v>30</v>
      </c>
      <c r="X152" s="19" t="str">
        <f ca="1" t="shared" si="18"/>
        <v>紫</v>
      </c>
      <c r="Y152" s="19">
        <f t="shared" si="45"/>
        <v>4060</v>
      </c>
      <c r="Z152" s="19">
        <f ca="1" t="shared" si="19"/>
        <v>1.53896907216495</v>
      </c>
      <c r="AA152" s="282">
        <f ca="1" t="shared" si="20"/>
        <v>25.4825114583333</v>
      </c>
      <c r="AB152" s="282">
        <f ca="1" t="shared" si="21"/>
        <v>3.55260416666667</v>
      </c>
      <c r="AC152" s="282">
        <f ca="1" t="shared" si="22"/>
        <v>0.73515</v>
      </c>
      <c r="AD152" s="282">
        <f ca="1" t="shared" si="23"/>
        <v>0.1837875</v>
      </c>
      <c r="AE152" s="282">
        <f ca="1" t="shared" si="24"/>
        <v>0.045946875</v>
      </c>
      <c r="AF152" s="19" t="str">
        <f t="shared" si="25"/>
        <v>红1</v>
      </c>
      <c r="AG152" s="19">
        <f>IFERROR(_xlfn.XLOOKUP(C152+1,[2]基因升级!$E$141:$E$500,[2]基因升级!$D$141:$D$500)-1,AG151)</f>
        <v>50</v>
      </c>
      <c r="AH152" s="19">
        <v>3</v>
      </c>
      <c r="AI152" s="19">
        <f t="shared" si="26"/>
        <v>5.14799958504964</v>
      </c>
      <c r="AJ152" s="19">
        <f t="shared" si="37"/>
        <v>0</v>
      </c>
      <c r="AK152" s="269">
        <v>1.41666666666667</v>
      </c>
      <c r="AQ152" s="19">
        <f t="shared" si="27"/>
        <v>1</v>
      </c>
      <c r="AR152" s="19">
        <f t="shared" si="28"/>
        <v>1</v>
      </c>
      <c r="AS152" s="19">
        <f t="shared" si="29"/>
        <v>1</v>
      </c>
      <c r="AT152" s="19">
        <f t="shared" si="30"/>
        <v>1</v>
      </c>
      <c r="AU152" s="19">
        <f t="shared" si="31"/>
        <v>1</v>
      </c>
    </row>
    <row r="153" spans="1:47">
      <c r="A153" s="279">
        <f ca="1">SUM($N$125:N153)</f>
        <v>12.384779130667</v>
      </c>
      <c r="C153" s="19">
        <v>30</v>
      </c>
      <c r="D153" s="86">
        <f ca="1" t="shared" si="38"/>
        <v>76.4182320473512</v>
      </c>
      <c r="E153" s="251">
        <f ca="1" t="shared" si="15"/>
        <v>1.68175781012521</v>
      </c>
      <c r="F153" s="269">
        <f ca="1" t="shared" si="32"/>
        <v>30.8974633950421</v>
      </c>
      <c r="G153" s="283">
        <f ca="1" t="shared" si="43"/>
        <v>51.9620503776698</v>
      </c>
      <c r="H153" s="279">
        <f ca="1" t="shared" si="33"/>
        <v>0.702942025121487</v>
      </c>
      <c r="I153" s="269">
        <f ca="1">SUM($J$125:J153)/SUM($H$125:H153)</f>
        <v>0.704857626850911</v>
      </c>
      <c r="J153" s="284">
        <f t="shared" si="39"/>
        <v>0.445890737456459</v>
      </c>
      <c r="K153" s="19">
        <f t="shared" si="44"/>
        <v>3900</v>
      </c>
      <c r="L153" s="269">
        <f t="shared" si="34"/>
        <v>1.195</v>
      </c>
      <c r="M153" s="226">
        <f ca="1" t="shared" si="35"/>
        <v>3.19</v>
      </c>
      <c r="N153" s="280">
        <f ca="1" t="shared" si="40"/>
        <v>0.257051287665023</v>
      </c>
      <c r="O153" s="226">
        <f t="shared" si="48"/>
        <v>1.65</v>
      </c>
      <c r="P153" s="19">
        <f ca="1" t="shared" si="46"/>
        <v>10.3333333333333</v>
      </c>
      <c r="Q153" s="226">
        <f ca="1" t="shared" si="47"/>
        <v>1.93333333333333</v>
      </c>
      <c r="R153" s="269">
        <f ca="1" t="shared" si="16"/>
        <v>0.26062135276551</v>
      </c>
      <c r="S153" s="266">
        <f ca="1" t="shared" si="17"/>
        <v>24.4840429421368</v>
      </c>
      <c r="T153" s="226">
        <f ca="1">(1+OFFSET('玩法产出(新)'!$C$18,MATCH(X153,'玩法产出(新)'!$B$19:$B$25,0),1)*(1-V153)+OFFSET('玩法产出(新)'!$C$18,1+MATCH(X153,'玩法产出(新)'!$B$19:$B$25,0),1)*(V153))^AA153*(1+OFFSET('玩法产出(新)'!$C$18,MATCH(X153,'玩法产出(新)'!$B$19:$B$25,0),3)*(1-V153)+OFFSET('玩法产出(新)'!$C$18,1+MATCH(X153,'玩法产出(新)'!$B$19:$B$25,0),3)*(V153))^AB153*(1+OFFSET('玩法产出(新)'!$C$18,MATCH(X153,'玩法产出(新)'!$B$19:$B$25,0),4)*(1-V153)+OFFSET('玩法产出(新)'!$C$18,1+MATCH(X153,'玩法产出(新)'!$B$19:$B$25,0),4)*(V153))^AC153*(1+OFFSET('玩法产出(新)'!$C$18,MATCH(X153,'玩法产出(新)'!$B$19:$B$25,0),5)*(1+V153)+OFFSET('玩法产出(新)'!$C$18,1+MATCH(X153,'玩法产出(新)'!$B$19:$B$25,5),1)*(V153))^AD153*(1+OFFSET('玩法产出(新)'!$C$18,MATCH(X153,'玩法产出(新)'!$B$19:$B$25,0),6)*(1+V153)+OFFSET('玩法产出(新)'!$C$18,1+MATCH(X153,'玩法产出(新)'!$B$19:$B$25,0),6)*(V153))^AE153</f>
        <v>5.24123550868176</v>
      </c>
      <c r="U153" s="226">
        <f ca="1" t="shared" si="36"/>
        <v>0.134010056109105</v>
      </c>
      <c r="V153" s="226">
        <f ca="1">COUNTIF($X$124:$X153,X153)/(COUNTIF($X$124:$X$723,X153)+1)</f>
        <v>0.103092783505155</v>
      </c>
      <c r="W153" s="19">
        <v>30</v>
      </c>
      <c r="X153" s="19" t="str">
        <f ca="1" t="shared" si="18"/>
        <v>紫</v>
      </c>
      <c r="Y153" s="19">
        <f t="shared" si="45"/>
        <v>4160</v>
      </c>
      <c r="Z153" s="19">
        <f ca="1" t="shared" si="19"/>
        <v>1.54329896907216</v>
      </c>
      <c r="AA153" s="282">
        <f ca="1" t="shared" si="20"/>
        <v>25.38275</v>
      </c>
      <c r="AB153" s="282">
        <f ca="1" t="shared" si="21"/>
        <v>3.625</v>
      </c>
      <c r="AC153" s="282">
        <f ca="1" t="shared" si="22"/>
        <v>0.756</v>
      </c>
      <c r="AD153" s="282">
        <f ca="1" t="shared" si="23"/>
        <v>0.189</v>
      </c>
      <c r="AE153" s="282">
        <f ca="1" t="shared" si="24"/>
        <v>0.04725</v>
      </c>
      <c r="AF153" s="19" t="str">
        <f t="shared" si="25"/>
        <v>红1</v>
      </c>
      <c r="AG153" s="19">
        <f>IFERROR(_xlfn.XLOOKUP(C153+1,[2]基因升级!$E$141:$E$500,[2]基因升级!$D$141:$D$500)-1,AG152)</f>
        <v>51</v>
      </c>
      <c r="AH153" s="19">
        <v>4</v>
      </c>
      <c r="AI153" s="19">
        <f t="shared" si="26"/>
        <v>5.99280531394426</v>
      </c>
      <c r="AJ153" s="19">
        <f t="shared" si="37"/>
        <v>0.844805728894623</v>
      </c>
      <c r="AK153" s="269">
        <v>1.5</v>
      </c>
      <c r="AQ153" s="19">
        <f t="shared" si="27"/>
        <v>1</v>
      </c>
      <c r="AR153" s="19">
        <f t="shared" si="28"/>
        <v>1</v>
      </c>
      <c r="AS153" s="19">
        <f t="shared" si="29"/>
        <v>1</v>
      </c>
      <c r="AT153" s="19">
        <f t="shared" si="30"/>
        <v>1</v>
      </c>
      <c r="AU153" s="19">
        <f t="shared" si="31"/>
        <v>1</v>
      </c>
    </row>
    <row r="154" spans="1:47">
      <c r="A154" s="279">
        <f ca="1">SUM($N$125:N154)</f>
        <v>12.5368910375511</v>
      </c>
      <c r="C154" s="19">
        <v>31</v>
      </c>
      <c r="D154" s="86">
        <f ca="1" t="shared" si="38"/>
        <v>77.1416031044596</v>
      </c>
      <c r="E154" s="251">
        <f ca="1" t="shared" si="15"/>
        <v>0.723371057108439</v>
      </c>
      <c r="F154" s="269">
        <f ca="1" t="shared" si="32"/>
        <v>72.6460828307863</v>
      </c>
      <c r="G154" s="283">
        <f ca="1" t="shared" si="43"/>
        <v>52.5500737320931</v>
      </c>
      <c r="H154" s="279">
        <f ca="1" t="shared" si="33"/>
        <v>0.588023354423278</v>
      </c>
      <c r="I154" s="269">
        <f ca="1">SUM($J$125:J154)/SUM($H$125:H154)</f>
        <v>0.705361473249452</v>
      </c>
      <c r="J154" s="284">
        <f t="shared" si="39"/>
        <v>0.435911447539254</v>
      </c>
      <c r="K154" s="19">
        <f t="shared" si="44"/>
        <v>4000</v>
      </c>
      <c r="L154" s="269">
        <f t="shared" si="34"/>
        <v>1.2</v>
      </c>
      <c r="M154" s="226">
        <f ca="1" t="shared" si="35"/>
        <v>3.223</v>
      </c>
      <c r="N154" s="280">
        <f ca="1" t="shared" si="40"/>
        <v>0.15211190688402</v>
      </c>
      <c r="O154" s="226">
        <f t="shared" si="48"/>
        <v>1.65</v>
      </c>
      <c r="P154" s="19">
        <f ca="1" t="shared" si="46"/>
        <v>10.5333333333333</v>
      </c>
      <c r="Q154" s="226">
        <f ca="1" t="shared" si="47"/>
        <v>1.95333333333333</v>
      </c>
      <c r="R154" s="269">
        <f ca="1" t="shared" si="16"/>
        <v>0.262062066680727</v>
      </c>
      <c r="S154" s="266">
        <f ca="1" t="shared" si="17"/>
        <v>24.619390644822</v>
      </c>
      <c r="T154" s="226">
        <f ca="1">(1+OFFSET('玩法产出(新)'!$C$18,MATCH(X154,'玩法产出(新)'!$B$19:$B$25,0),1)*(1-V154)+OFFSET('玩法产出(新)'!$C$18,1+MATCH(X154,'玩法产出(新)'!$B$19:$B$25,0),1)*(V154))^AA154*(1+OFFSET('玩法产出(新)'!$C$18,MATCH(X154,'玩法产出(新)'!$B$19:$B$25,0),3)*(1-V154)+OFFSET('玩法产出(新)'!$C$18,1+MATCH(X154,'玩法产出(新)'!$B$19:$B$25,0),3)*(V154))^AB154*(1+OFFSET('玩法产出(新)'!$C$18,MATCH(X154,'玩法产出(新)'!$B$19:$B$25,0),4)*(1-V154)+OFFSET('玩法产出(新)'!$C$18,1+MATCH(X154,'玩法产出(新)'!$B$19:$B$25,0),4)*(V154))^AC154*(1+OFFSET('玩法产出(新)'!$C$18,MATCH(X154,'玩法产出(新)'!$B$19:$B$25,0),5)*(1+V154)+OFFSET('玩法产出(新)'!$C$18,1+MATCH(X154,'玩法产出(新)'!$B$19:$B$25,5),1)*(V154))^AD154*(1+OFFSET('玩法产出(新)'!$C$18,MATCH(X154,'玩法产出(新)'!$B$19:$B$25,0),6)*(1+V154)+OFFSET('玩法产出(新)'!$C$18,1+MATCH(X154,'玩法产出(新)'!$B$19:$B$25,0),6)*(V154))^AE154</f>
        <v>5.2894522563043</v>
      </c>
      <c r="U154" s="226">
        <f ca="1" t="shared" si="36"/>
        <v>0.135347702685165</v>
      </c>
      <c r="V154" s="226">
        <f ca="1">COUNTIF($X$124:$X154,X154)/(COUNTIF($X$124:$X$723,X154)+1)</f>
        <v>0.11340206185567</v>
      </c>
      <c r="W154" s="19">
        <v>30</v>
      </c>
      <c r="X154" s="19" t="str">
        <f ca="1" t="shared" si="18"/>
        <v>紫</v>
      </c>
      <c r="Y154" s="19">
        <f t="shared" si="45"/>
        <v>4260</v>
      </c>
      <c r="Z154" s="19">
        <f ca="1" t="shared" si="19"/>
        <v>1.54762886597938</v>
      </c>
      <c r="AA154" s="282">
        <f ca="1" t="shared" si="20"/>
        <v>25.2829885416667</v>
      </c>
      <c r="AB154" s="282">
        <f ca="1" t="shared" si="21"/>
        <v>3.69739583333333</v>
      </c>
      <c r="AC154" s="282">
        <f ca="1" t="shared" si="22"/>
        <v>0.77685</v>
      </c>
      <c r="AD154" s="282">
        <f ca="1" t="shared" si="23"/>
        <v>0.1942125</v>
      </c>
      <c r="AE154" s="282">
        <f ca="1" t="shared" si="24"/>
        <v>0.048553125</v>
      </c>
      <c r="AF154" s="19" t="str">
        <f t="shared" si="25"/>
        <v>红1</v>
      </c>
      <c r="AG154" s="19">
        <f>IFERROR(_xlfn.XLOOKUP(C154+1,[2]基因升级!$E$141:$E$500,[2]基因升级!$D$141:$D$500)-1,AG153)</f>
        <v>51</v>
      </c>
      <c r="AH154" s="19">
        <v>4</v>
      </c>
      <c r="AI154" s="19">
        <f t="shared" si="26"/>
        <v>5.99280531394426</v>
      </c>
      <c r="AJ154" s="19">
        <f t="shared" si="37"/>
        <v>0</v>
      </c>
      <c r="AK154" s="269">
        <v>1.5</v>
      </c>
      <c r="AQ154" s="19">
        <f t="shared" si="27"/>
        <v>1</v>
      </c>
      <c r="AR154" s="19">
        <f t="shared" si="28"/>
        <v>1</v>
      </c>
      <c r="AS154" s="19">
        <f t="shared" si="29"/>
        <v>1</v>
      </c>
      <c r="AT154" s="19">
        <f t="shared" si="30"/>
        <v>1</v>
      </c>
      <c r="AU154" s="19">
        <f t="shared" si="31"/>
        <v>1</v>
      </c>
    </row>
    <row r="155" spans="1:47">
      <c r="A155" s="279">
        <f ca="1">SUM($N$125:N155)</f>
        <v>12.6874533904325</v>
      </c>
      <c r="C155" s="19">
        <v>32</v>
      </c>
      <c r="D155" s="86">
        <f ca="1" t="shared" si="38"/>
        <v>77.8552622646837</v>
      </c>
      <c r="E155" s="251">
        <f ca="1" t="shared" si="15"/>
        <v>0.71365916022409</v>
      </c>
      <c r="F155" s="269">
        <f ca="1" t="shared" si="32"/>
        <v>74.4431704334988</v>
      </c>
      <c r="G155" s="283">
        <f ca="1" t="shared" si="43"/>
        <v>53.1270504959895</v>
      </c>
      <c r="H155" s="279">
        <f ca="1" t="shared" si="33"/>
        <v>0.576976763896432</v>
      </c>
      <c r="I155" s="269">
        <f ca="1">SUM($J$125:J155)/SUM($H$125:H155)</f>
        <v>0.70581217021525</v>
      </c>
      <c r="J155" s="284">
        <f t="shared" si="39"/>
        <v>0.426414411015035</v>
      </c>
      <c r="K155" s="19">
        <f t="shared" si="44"/>
        <v>4100</v>
      </c>
      <c r="L155" s="269">
        <f t="shared" si="34"/>
        <v>1.205</v>
      </c>
      <c r="M155" s="226">
        <f ca="1" t="shared" si="35"/>
        <v>3.256</v>
      </c>
      <c r="N155" s="280">
        <f ca="1" t="shared" si="40"/>
        <v>0.1505623528814</v>
      </c>
      <c r="O155" s="226">
        <f t="shared" si="48"/>
        <v>1.65</v>
      </c>
      <c r="P155" s="19">
        <f ca="1" t="shared" si="46"/>
        <v>10.7333333333333</v>
      </c>
      <c r="Q155" s="226">
        <f ca="1" t="shared" si="47"/>
        <v>1.97333333333333</v>
      </c>
      <c r="R155" s="269">
        <f ca="1" t="shared" si="16"/>
        <v>0.263516987794627</v>
      </c>
      <c r="S155" s="266">
        <f ca="1" t="shared" si="17"/>
        <v>24.7560730411496</v>
      </c>
      <c r="T155" s="226">
        <f ca="1">(1+OFFSET('玩法产出(新)'!$C$18,MATCH(X155,'玩法产出(新)'!$B$19:$B$25,0),1)*(1-V155)+OFFSET('玩法产出(新)'!$C$18,1+MATCH(X155,'玩法产出(新)'!$B$19:$B$25,0),1)*(V155))^AA155*(1+OFFSET('玩法产出(新)'!$C$18,MATCH(X155,'玩法产出(新)'!$B$19:$B$25,0),3)*(1-V155)+OFFSET('玩法产出(新)'!$C$18,1+MATCH(X155,'玩法产出(新)'!$B$19:$B$25,0),3)*(V155))^AB155*(1+OFFSET('玩法产出(新)'!$C$18,MATCH(X155,'玩法产出(新)'!$B$19:$B$25,0),4)*(1-V155)+OFFSET('玩法产出(新)'!$C$18,1+MATCH(X155,'玩法产出(新)'!$B$19:$B$25,0),4)*(V155))^AC155*(1+OFFSET('玩法产出(新)'!$C$18,MATCH(X155,'玩法产出(新)'!$B$19:$B$25,0),5)*(1+V155)+OFFSET('玩法产出(新)'!$C$18,1+MATCH(X155,'玩法产出(新)'!$B$19:$B$25,5),1)*(V155))^AD155*(1+OFFSET('玩法产出(新)'!$C$18,MATCH(X155,'玩法产出(新)'!$B$19:$B$25,0),6)*(1+V155)+OFFSET('玩法产出(新)'!$C$18,1+MATCH(X155,'玩法产出(新)'!$B$19:$B$25,0),6)*(V155))^AE155</f>
        <v>5.33859464628873</v>
      </c>
      <c r="U155" s="226">
        <f ca="1" t="shared" si="36"/>
        <v>0.136682396327655</v>
      </c>
      <c r="V155" s="226">
        <f ca="1">COUNTIF($X$124:$X155,X155)/(COUNTIF($X$124:$X$723,X155)+1)</f>
        <v>0.123711340206186</v>
      </c>
      <c r="W155" s="19">
        <v>30</v>
      </c>
      <c r="X155" s="19" t="str">
        <f ca="1" t="shared" si="18"/>
        <v>紫</v>
      </c>
      <c r="Y155" s="19">
        <f t="shared" si="45"/>
        <v>4360</v>
      </c>
      <c r="Z155" s="19">
        <f ca="1" t="shared" si="19"/>
        <v>1.5519587628866</v>
      </c>
      <c r="AA155" s="282">
        <f ca="1" t="shared" si="20"/>
        <v>25.1832270833333</v>
      </c>
      <c r="AB155" s="282">
        <f ca="1" t="shared" si="21"/>
        <v>3.76979166666667</v>
      </c>
      <c r="AC155" s="282">
        <f ca="1" t="shared" si="22"/>
        <v>0.7977</v>
      </c>
      <c r="AD155" s="282">
        <f ca="1" t="shared" si="23"/>
        <v>0.199425</v>
      </c>
      <c r="AE155" s="282">
        <f ca="1" t="shared" si="24"/>
        <v>0.04985625</v>
      </c>
      <c r="AF155" s="19" t="str">
        <f t="shared" si="25"/>
        <v>红1</v>
      </c>
      <c r="AG155" s="19">
        <f>IFERROR(_xlfn.XLOOKUP(C155+1,[2]基因升级!$E$141:$E$500,[2]基因升级!$D$141:$D$500)-1,AG154)</f>
        <v>52</v>
      </c>
      <c r="AH155" s="19">
        <v>4</v>
      </c>
      <c r="AI155" s="19">
        <f t="shared" si="26"/>
        <v>5.99280531394426</v>
      </c>
      <c r="AJ155" s="19">
        <f t="shared" si="37"/>
        <v>0</v>
      </c>
      <c r="AK155" s="269">
        <v>1.5</v>
      </c>
      <c r="AQ155" s="19">
        <f t="shared" si="27"/>
        <v>1</v>
      </c>
      <c r="AR155" s="19">
        <f t="shared" si="28"/>
        <v>1</v>
      </c>
      <c r="AS155" s="19">
        <f t="shared" si="29"/>
        <v>1</v>
      </c>
      <c r="AT155" s="19">
        <f t="shared" si="30"/>
        <v>1</v>
      </c>
      <c r="AU155" s="19">
        <f t="shared" si="31"/>
        <v>1</v>
      </c>
    </row>
    <row r="156" spans="1:47">
      <c r="A156" s="279">
        <f ca="1">SUM($N$125:N156)</f>
        <v>12.8364974416232</v>
      </c>
      <c r="C156" s="19">
        <v>33</v>
      </c>
      <c r="D156" s="86">
        <f ca="1" t="shared" si="38"/>
        <v>78.559685354082</v>
      </c>
      <c r="E156" s="251">
        <f ca="1" t="shared" si="15"/>
        <v>0.704423089398342</v>
      </c>
      <c r="F156" s="269">
        <f ca="1" t="shared" si="32"/>
        <v>76.2233098876399</v>
      </c>
      <c r="G156" s="283">
        <f ca="1" t="shared" si="43"/>
        <v>53.6934594352185</v>
      </c>
      <c r="H156" s="279">
        <f ca="1" t="shared" si="33"/>
        <v>0.56640893922895</v>
      </c>
      <c r="I156" s="269">
        <f ca="1">SUM($J$125:J156)/SUM($H$125:H156)</f>
        <v>0.70621466902489</v>
      </c>
      <c r="J156" s="284">
        <f t="shared" si="39"/>
        <v>0.417364888038232</v>
      </c>
      <c r="K156" s="19">
        <f t="shared" si="44"/>
        <v>4200</v>
      </c>
      <c r="L156" s="269">
        <f t="shared" si="34"/>
        <v>1.21</v>
      </c>
      <c r="M156" s="226">
        <f ca="1" t="shared" si="35"/>
        <v>3.289</v>
      </c>
      <c r="N156" s="280">
        <f ca="1" t="shared" si="40"/>
        <v>0.149044051190717</v>
      </c>
      <c r="O156" s="226">
        <f t="shared" si="48"/>
        <v>1.65</v>
      </c>
      <c r="P156" s="19">
        <f ca="1" t="shared" si="46"/>
        <v>10.9333333333333</v>
      </c>
      <c r="Q156" s="226">
        <f ca="1" t="shared" si="47"/>
        <v>1.99333333333333</v>
      </c>
      <c r="R156" s="269">
        <f ca="1" t="shared" si="16"/>
        <v>0.264986084814386</v>
      </c>
      <c r="S156" s="266">
        <f ca="1" t="shared" si="17"/>
        <v>24.894087191319</v>
      </c>
      <c r="T156" s="226">
        <f ca="1">(1+OFFSET('玩法产出(新)'!$C$18,MATCH(X156,'玩法产出(新)'!$B$19:$B$25,0),1)*(1-V156)+OFFSET('玩法产出(新)'!$C$18,1+MATCH(X156,'玩法产出(新)'!$B$19:$B$25,0),1)*(V156))^AA156*(1+OFFSET('玩法产出(新)'!$C$18,MATCH(X156,'玩法产出(新)'!$B$19:$B$25,0),3)*(1-V156)+OFFSET('玩法产出(新)'!$C$18,1+MATCH(X156,'玩法产出(新)'!$B$19:$B$25,0),3)*(V156))^AB156*(1+OFFSET('玩法产出(新)'!$C$18,MATCH(X156,'玩法产出(新)'!$B$19:$B$25,0),4)*(1-V156)+OFFSET('玩法产出(新)'!$C$18,1+MATCH(X156,'玩法产出(新)'!$B$19:$B$25,0),4)*(V156))^AC156*(1+OFFSET('玩法产出(新)'!$C$18,MATCH(X156,'玩法产出(新)'!$B$19:$B$25,0),5)*(1+V156)+OFFSET('玩法产出(新)'!$C$18,1+MATCH(X156,'玩法产出(新)'!$B$19:$B$25,5),1)*(V156))^AD156*(1+OFFSET('玩法产出(新)'!$C$18,MATCH(X156,'玩法产出(新)'!$B$19:$B$25,0),6)*(1+V156)+OFFSET('玩法产出(新)'!$C$18,1+MATCH(X156,'玩法产出(新)'!$B$19:$B$25,0),6)*(V156))^AE156</f>
        <v>5.38867912371788</v>
      </c>
      <c r="U156" s="226">
        <f ca="1" t="shared" si="36"/>
        <v>0.138014150169393</v>
      </c>
      <c r="V156" s="226">
        <f ca="1">COUNTIF($X$124:$X156,X156)/(COUNTIF($X$124:$X$723,X156)+1)</f>
        <v>0.134020618556701</v>
      </c>
      <c r="W156" s="19">
        <v>30</v>
      </c>
      <c r="X156" s="19" t="str">
        <f ca="1" t="shared" si="18"/>
        <v>紫</v>
      </c>
      <c r="Y156" s="19">
        <f t="shared" si="45"/>
        <v>4460</v>
      </c>
      <c r="Z156" s="19">
        <f ca="1" t="shared" si="19"/>
        <v>1.55628865979381</v>
      </c>
      <c r="AA156" s="282">
        <f ca="1" t="shared" si="20"/>
        <v>25.083465625</v>
      </c>
      <c r="AB156" s="282">
        <f ca="1" t="shared" si="21"/>
        <v>3.8421875</v>
      </c>
      <c r="AC156" s="282">
        <f ca="1" t="shared" si="22"/>
        <v>0.81855</v>
      </c>
      <c r="AD156" s="282">
        <f ca="1" t="shared" si="23"/>
        <v>0.2046375</v>
      </c>
      <c r="AE156" s="282">
        <f ca="1" t="shared" si="24"/>
        <v>0.051159375</v>
      </c>
      <c r="AF156" s="19" t="str">
        <f t="shared" si="25"/>
        <v>红1</v>
      </c>
      <c r="AG156" s="19">
        <f>IFERROR(_xlfn.XLOOKUP(C156+1,[2]基因升级!$E$141:$E$500,[2]基因升级!$D$141:$D$500)-1,AG155)</f>
        <v>52</v>
      </c>
      <c r="AH156" s="19">
        <v>4</v>
      </c>
      <c r="AI156" s="19">
        <f t="shared" si="26"/>
        <v>5.99280531394426</v>
      </c>
      <c r="AJ156" s="19">
        <f t="shared" si="37"/>
        <v>0</v>
      </c>
      <c r="AK156" s="269">
        <v>1.5</v>
      </c>
      <c r="AQ156" s="19">
        <f t="shared" si="27"/>
        <v>1</v>
      </c>
      <c r="AR156" s="19">
        <f t="shared" si="28"/>
        <v>1</v>
      </c>
      <c r="AS156" s="19">
        <f t="shared" si="29"/>
        <v>1</v>
      </c>
      <c r="AT156" s="19">
        <f t="shared" si="30"/>
        <v>1</v>
      </c>
      <c r="AU156" s="19">
        <f t="shared" si="31"/>
        <v>1</v>
      </c>
    </row>
    <row r="157" spans="1:47">
      <c r="A157" s="279">
        <f ca="1">SUM($N$125:N157)</f>
        <v>12.9840535073942</v>
      </c>
      <c r="C157" s="19">
        <v>34</v>
      </c>
      <c r="D157" s="86">
        <f ca="1" t="shared" si="38"/>
        <v>79.2553158042148</v>
      </c>
      <c r="E157" s="251">
        <f ca="1" t="shared" si="15"/>
        <v>0.695630450132727</v>
      </c>
      <c r="F157" s="269">
        <f ca="1" t="shared" si="32"/>
        <v>77.9864465360185</v>
      </c>
      <c r="G157" s="283">
        <f ca="1" t="shared" si="43"/>
        <v>54.2497469081024</v>
      </c>
      <c r="H157" s="279">
        <f ca="1" t="shared" si="33"/>
        <v>0.556287472883916</v>
      </c>
      <c r="I157" s="269">
        <f ca="1">SUM($J$125:J157)/SUM($H$125:H157)</f>
        <v>0.706573383699584</v>
      </c>
      <c r="J157" s="284">
        <f t="shared" si="39"/>
        <v>0.408731407112853</v>
      </c>
      <c r="K157" s="19">
        <f t="shared" si="44"/>
        <v>4300</v>
      </c>
      <c r="L157" s="269">
        <f t="shared" si="34"/>
        <v>1.215</v>
      </c>
      <c r="M157" s="226">
        <f ca="1" t="shared" si="35"/>
        <v>3.322</v>
      </c>
      <c r="N157" s="280">
        <f ca="1" t="shared" si="40"/>
        <v>0.147556065771058</v>
      </c>
      <c r="O157" s="226">
        <f t="shared" si="48"/>
        <v>1.65</v>
      </c>
      <c r="P157" s="19">
        <f ca="1" t="shared" si="46"/>
        <v>11.1333333333333</v>
      </c>
      <c r="Q157" s="226">
        <f ca="1" t="shared" si="47"/>
        <v>2.01333333333333</v>
      </c>
      <c r="R157" s="269">
        <f ca="1" t="shared" si="16"/>
        <v>0.266469326585967</v>
      </c>
      <c r="S157" s="266">
        <f ca="1" t="shared" si="17"/>
        <v>25.0334301685678</v>
      </c>
      <c r="T157" s="226">
        <f ca="1">(1+OFFSET('玩法产出(新)'!$C$18,MATCH(X157,'玩法产出(新)'!$B$19:$B$25,0),1)*(1-V157)+OFFSET('玩法产出(新)'!$C$18,1+MATCH(X157,'玩法产出(新)'!$B$19:$B$25,0),1)*(V157))^AA157*(1+OFFSET('玩法产出(新)'!$C$18,MATCH(X157,'玩法产出(新)'!$B$19:$B$25,0),3)*(1-V157)+OFFSET('玩法产出(新)'!$C$18,1+MATCH(X157,'玩法产出(新)'!$B$19:$B$25,0),3)*(V157))^AB157*(1+OFFSET('玩法产出(新)'!$C$18,MATCH(X157,'玩法产出(新)'!$B$19:$B$25,0),4)*(1-V157)+OFFSET('玩法产出(新)'!$C$18,1+MATCH(X157,'玩法产出(新)'!$B$19:$B$25,0),4)*(V157))^AC157*(1+OFFSET('玩法产出(新)'!$C$18,MATCH(X157,'玩法产出(新)'!$B$19:$B$25,0),5)*(1+V157)+OFFSET('玩法产出(新)'!$C$18,1+MATCH(X157,'玩法产出(新)'!$B$19:$B$25,5),1)*(V157))^AD157*(1+OFFSET('玩法产出(新)'!$C$18,MATCH(X157,'玩法产出(新)'!$B$19:$B$25,0),6)*(1+V157)+OFFSET('玩法产出(新)'!$C$18,1+MATCH(X157,'玩法产出(新)'!$B$19:$B$25,0),6)*(V157))^AE157</f>
        <v>5.43972251812293</v>
      </c>
      <c r="U157" s="226">
        <f ca="1" t="shared" si="36"/>
        <v>0.139342977248816</v>
      </c>
      <c r="V157" s="226">
        <f ca="1">COUNTIF($X$124:$X157,X157)/(COUNTIF($X$124:$X$723,X157)+1)</f>
        <v>0.144329896907216</v>
      </c>
      <c r="W157" s="19">
        <v>30</v>
      </c>
      <c r="X157" s="19" t="str">
        <f ca="1" t="shared" si="18"/>
        <v>紫</v>
      </c>
      <c r="Y157" s="19">
        <f t="shared" si="45"/>
        <v>4560</v>
      </c>
      <c r="Z157" s="19">
        <f ca="1" t="shared" si="19"/>
        <v>1.56061855670103</v>
      </c>
      <c r="AA157" s="282">
        <f ca="1" t="shared" si="20"/>
        <v>24.9837041666667</v>
      </c>
      <c r="AB157" s="282">
        <f ca="1" t="shared" si="21"/>
        <v>3.91458333333333</v>
      </c>
      <c r="AC157" s="282">
        <f ca="1" t="shared" si="22"/>
        <v>0.8394</v>
      </c>
      <c r="AD157" s="282">
        <f ca="1" t="shared" si="23"/>
        <v>0.20985</v>
      </c>
      <c r="AE157" s="282">
        <f ca="1" t="shared" si="24"/>
        <v>0.0524625</v>
      </c>
      <c r="AF157" s="19" t="str">
        <f t="shared" si="25"/>
        <v>红1</v>
      </c>
      <c r="AG157" s="19">
        <f>IFERROR(_xlfn.XLOOKUP(C157+1,[2]基因升级!$E$141:$E$500,[2]基因升级!$D$141:$D$500)-1,AG156)</f>
        <v>53</v>
      </c>
      <c r="AH157" s="19">
        <v>4</v>
      </c>
      <c r="AI157" s="19">
        <f t="shared" si="26"/>
        <v>5.99280531394426</v>
      </c>
      <c r="AJ157" s="19">
        <f t="shared" si="37"/>
        <v>0</v>
      </c>
      <c r="AK157" s="269">
        <v>1.5</v>
      </c>
      <c r="AQ157" s="19">
        <f t="shared" si="27"/>
        <v>1</v>
      </c>
      <c r="AR157" s="19">
        <f t="shared" si="28"/>
        <v>1</v>
      </c>
      <c r="AS157" s="19">
        <f t="shared" si="29"/>
        <v>1</v>
      </c>
      <c r="AT157" s="19">
        <f t="shared" si="30"/>
        <v>1</v>
      </c>
      <c r="AU157" s="19">
        <f t="shared" si="31"/>
        <v>1</v>
      </c>
    </row>
    <row r="158" spans="1:47">
      <c r="A158" s="279">
        <f ca="1">SUM($N$125:N158)</f>
        <v>13.1301510049871</v>
      </c>
      <c r="C158" s="19">
        <v>35</v>
      </c>
      <c r="D158" s="86">
        <f ca="1" t="shared" si="38"/>
        <v>79.9425675816749</v>
      </c>
      <c r="E158" s="251">
        <f ca="1" t="shared" si="15"/>
        <v>0.687251777460146</v>
      </c>
      <c r="F158" s="269">
        <f ca="1" t="shared" si="32"/>
        <v>79.7325399398173</v>
      </c>
      <c r="G158" s="283">
        <f ca="1" t="shared" si="43"/>
        <v>54.7963297950515</v>
      </c>
      <c r="H158" s="279">
        <f ca="1" t="shared" si="33"/>
        <v>0.546582886949125</v>
      </c>
      <c r="I158" s="269">
        <f ca="1">SUM($J$125:J158)/SUM($H$125:H158)</f>
        <v>0.706892259587802</v>
      </c>
      <c r="J158" s="284">
        <f t="shared" si="39"/>
        <v>0.400485389356231</v>
      </c>
      <c r="K158" s="19">
        <f t="shared" si="44"/>
        <v>4400</v>
      </c>
      <c r="L158" s="269">
        <f t="shared" si="34"/>
        <v>1.22</v>
      </c>
      <c r="M158" s="226">
        <f ca="1" t="shared" si="35"/>
        <v>3.355</v>
      </c>
      <c r="N158" s="280">
        <f ca="1" t="shared" si="40"/>
        <v>0.146097497592905</v>
      </c>
      <c r="O158" s="226">
        <f t="shared" si="48"/>
        <v>1.65</v>
      </c>
      <c r="P158" s="19">
        <f ca="1" t="shared" si="46"/>
        <v>11.3333333333333</v>
      </c>
      <c r="Q158" s="226">
        <f ca="1" t="shared" si="47"/>
        <v>2.03333333333333</v>
      </c>
      <c r="R158" s="269">
        <f ca="1" t="shared" si="16"/>
        <v>0.267966682093129</v>
      </c>
      <c r="S158" s="266">
        <f ca="1" t="shared" si="17"/>
        <v>25.1740990590788</v>
      </c>
      <c r="T158" s="226">
        <f ca="1">(1+OFFSET('玩法产出(新)'!$C$18,MATCH(X158,'玩法产出(新)'!$B$19:$B$25,0),1)*(1-V158)+OFFSET('玩法产出(新)'!$C$18,1+MATCH(X158,'玩法产出(新)'!$B$19:$B$25,0),1)*(V158))^AA158*(1+OFFSET('玩法产出(新)'!$C$18,MATCH(X158,'玩法产出(新)'!$B$19:$B$25,0),3)*(1-V158)+OFFSET('玩法产出(新)'!$C$18,1+MATCH(X158,'玩法产出(新)'!$B$19:$B$25,0),3)*(V158))^AB158*(1+OFFSET('玩法产出(新)'!$C$18,MATCH(X158,'玩法产出(新)'!$B$19:$B$25,0),4)*(1-V158)+OFFSET('玩法产出(新)'!$C$18,1+MATCH(X158,'玩法产出(新)'!$B$19:$B$25,0),4)*(V158))^AC158*(1+OFFSET('玩法产出(新)'!$C$18,MATCH(X158,'玩法产出(新)'!$B$19:$B$25,0),5)*(1+V158)+OFFSET('玩法产出(新)'!$C$18,1+MATCH(X158,'玩法产出(新)'!$B$19:$B$25,5),1)*(V158))^AD158*(1+OFFSET('玩法产出(新)'!$C$18,MATCH(X158,'玩法产出(新)'!$B$19:$B$25,0),6)*(1+V158)+OFFSET('玩法产出(新)'!$C$18,1+MATCH(X158,'玩法产出(新)'!$B$19:$B$25,0),6)*(V158))^AE158</f>
        <v>5.49174205218617</v>
      </c>
      <c r="U158" s="226">
        <f ca="1" t="shared" si="36"/>
        <v>0.14066889051101</v>
      </c>
      <c r="V158" s="226">
        <f ca="1">COUNTIF($X$124:$X158,X158)/(COUNTIF($X$124:$X$723,X158)+1)</f>
        <v>0.154639175257732</v>
      </c>
      <c r="W158" s="19">
        <v>30</v>
      </c>
      <c r="X158" s="19" t="str">
        <f ca="1" t="shared" si="18"/>
        <v>紫</v>
      </c>
      <c r="Y158" s="19">
        <f t="shared" si="45"/>
        <v>4660</v>
      </c>
      <c r="Z158" s="19">
        <f ca="1" t="shared" si="19"/>
        <v>1.56494845360825</v>
      </c>
      <c r="AA158" s="282">
        <f ca="1" t="shared" si="20"/>
        <v>24.8839427083333</v>
      </c>
      <c r="AB158" s="282">
        <f ca="1" t="shared" si="21"/>
        <v>3.98697916666667</v>
      </c>
      <c r="AC158" s="282">
        <f ca="1" t="shared" si="22"/>
        <v>0.86025</v>
      </c>
      <c r="AD158" s="282">
        <f ca="1" t="shared" si="23"/>
        <v>0.2150625</v>
      </c>
      <c r="AE158" s="282">
        <f ca="1" t="shared" si="24"/>
        <v>0.053765625</v>
      </c>
      <c r="AF158" s="19" t="str">
        <f t="shared" si="25"/>
        <v>红1</v>
      </c>
      <c r="AG158" s="19">
        <f>IFERROR(_xlfn.XLOOKUP(C158+1,[2]基因升级!$E$141:$E$500,[2]基因升级!$D$141:$D$500)-1,AG157)</f>
        <v>53</v>
      </c>
      <c r="AH158" s="19">
        <v>4</v>
      </c>
      <c r="AI158" s="19">
        <f t="shared" si="26"/>
        <v>5.99280531394426</v>
      </c>
      <c r="AJ158" s="19">
        <f t="shared" si="37"/>
        <v>0</v>
      </c>
      <c r="AK158" s="269">
        <v>1.5</v>
      </c>
      <c r="AQ158" s="19">
        <f t="shared" si="27"/>
        <v>1</v>
      </c>
      <c r="AR158" s="19">
        <f t="shared" si="28"/>
        <v>1</v>
      </c>
      <c r="AS158" s="19">
        <f t="shared" si="29"/>
        <v>1</v>
      </c>
      <c r="AT158" s="19">
        <f t="shared" si="30"/>
        <v>1</v>
      </c>
      <c r="AU158" s="19">
        <f t="shared" si="31"/>
        <v>1</v>
      </c>
    </row>
    <row r="159" spans="1:47">
      <c r="A159" s="279">
        <f ca="1">SUM($N$125:N159)</f>
        <v>13.2748184878138</v>
      </c>
      <c r="C159" s="19">
        <v>36</v>
      </c>
      <c r="D159" s="86">
        <f ca="1" t="shared" si="38"/>
        <v>80.6218277907491</v>
      </c>
      <c r="E159" s="251">
        <f ca="1" t="shared" si="15"/>
        <v>0.679260209074204</v>
      </c>
      <c r="F159" s="269">
        <f ca="1" t="shared" si="32"/>
        <v>81.4615626855781</v>
      </c>
      <c r="G159" s="283">
        <f ca="1" t="shared" si="43"/>
        <v>55.3335981013171</v>
      </c>
      <c r="H159" s="279">
        <f ca="1" t="shared" si="33"/>
        <v>0.537268306265609</v>
      </c>
      <c r="I159" s="269">
        <f ca="1">SUM($J$125:J159)/SUM($H$125:H159)</f>
        <v>0.707174831829019</v>
      </c>
      <c r="J159" s="284">
        <f t="shared" si="39"/>
        <v>0.392600823438919</v>
      </c>
      <c r="K159" s="19">
        <f t="shared" si="44"/>
        <v>4500</v>
      </c>
      <c r="L159" s="269">
        <f t="shared" si="34"/>
        <v>1.225</v>
      </c>
      <c r="M159" s="226">
        <f ca="1" t="shared" si="35"/>
        <v>3.388</v>
      </c>
      <c r="N159" s="280">
        <f ca="1" t="shared" si="40"/>
        <v>0.144667482826685</v>
      </c>
      <c r="O159" s="226">
        <f t="shared" si="48"/>
        <v>1.65</v>
      </c>
      <c r="P159" s="19">
        <f ca="1" t="shared" si="46"/>
        <v>11.5333333333333</v>
      </c>
      <c r="Q159" s="226">
        <f ca="1" t="shared" si="47"/>
        <v>2.05333333333333</v>
      </c>
      <c r="R159" s="269">
        <f ca="1" t="shared" si="16"/>
        <v>0.269478120456441</v>
      </c>
      <c r="S159" s="266">
        <f ca="1" t="shared" si="17"/>
        <v>25.3160909618874</v>
      </c>
      <c r="T159" s="226">
        <f ca="1">(1+OFFSET('玩法产出(新)'!$C$18,MATCH(X159,'玩法产出(新)'!$B$19:$B$25,0),1)*(1-V159)+OFFSET('玩法产出(新)'!$C$18,1+MATCH(X159,'玩法产出(新)'!$B$19:$B$25,0),1)*(V159))^AA159*(1+OFFSET('玩法产出(新)'!$C$18,MATCH(X159,'玩法产出(新)'!$B$19:$B$25,0),3)*(1-V159)+OFFSET('玩法产出(新)'!$C$18,1+MATCH(X159,'玩法产出(新)'!$B$19:$B$25,0),3)*(V159))^AB159*(1+OFFSET('玩法产出(新)'!$C$18,MATCH(X159,'玩法产出(新)'!$B$19:$B$25,0),4)*(1-V159)+OFFSET('玩法产出(新)'!$C$18,1+MATCH(X159,'玩法产出(新)'!$B$19:$B$25,0),4)*(V159))^AC159*(1+OFFSET('玩法产出(新)'!$C$18,MATCH(X159,'玩法产出(新)'!$B$19:$B$25,0),5)*(1+V159)+OFFSET('玩法产出(新)'!$C$18,1+MATCH(X159,'玩法产出(新)'!$B$19:$B$25,5),1)*(V159))^AD159*(1+OFFSET('玩法产出(新)'!$C$18,MATCH(X159,'玩法产出(新)'!$B$19:$B$25,0),6)*(1+V159)+OFFSET('玩法产出(新)'!$C$18,1+MATCH(X159,'玩法产出(新)'!$B$19:$B$25,0),6)*(V159))^AE159</f>
        <v>5.54475535067681</v>
      </c>
      <c r="U159" s="226">
        <f ca="1" t="shared" si="36"/>
        <v>0.141991902808599</v>
      </c>
      <c r="V159" s="226">
        <f ca="1">COUNTIF($X$124:$X159,X159)/(COUNTIF($X$124:$X$723,X159)+1)</f>
        <v>0.164948453608247</v>
      </c>
      <c r="W159" s="19">
        <v>30</v>
      </c>
      <c r="X159" s="19" t="str">
        <f ca="1" t="shared" si="18"/>
        <v>紫</v>
      </c>
      <c r="Y159" s="19">
        <f t="shared" si="45"/>
        <v>4760</v>
      </c>
      <c r="Z159" s="19">
        <f ca="1" t="shared" si="19"/>
        <v>1.56927835051546</v>
      </c>
      <c r="AA159" s="282">
        <f ca="1" t="shared" si="20"/>
        <v>24.78418125</v>
      </c>
      <c r="AB159" s="282">
        <f ca="1" t="shared" si="21"/>
        <v>4.059375</v>
      </c>
      <c r="AC159" s="282">
        <f ca="1" t="shared" si="22"/>
        <v>0.8811</v>
      </c>
      <c r="AD159" s="282">
        <f ca="1" t="shared" si="23"/>
        <v>0.220275</v>
      </c>
      <c r="AE159" s="282">
        <f ca="1" t="shared" si="24"/>
        <v>0.05506875</v>
      </c>
      <c r="AF159" s="19" t="str">
        <f t="shared" si="25"/>
        <v>红1</v>
      </c>
      <c r="AG159" s="19">
        <f>IFERROR(_xlfn.XLOOKUP(C159+1,[2]基因升级!$E$141:$E$500,[2]基因升级!$D$141:$D$500)-1,AG158)</f>
        <v>54</v>
      </c>
      <c r="AH159" s="19">
        <v>4</v>
      </c>
      <c r="AI159" s="19">
        <f t="shared" si="26"/>
        <v>5.99280531394426</v>
      </c>
      <c r="AJ159" s="19">
        <f t="shared" si="37"/>
        <v>0</v>
      </c>
      <c r="AK159" s="269">
        <v>1.5</v>
      </c>
      <c r="AQ159" s="19">
        <f t="shared" si="27"/>
        <v>1</v>
      </c>
      <c r="AR159" s="19">
        <f t="shared" si="28"/>
        <v>1</v>
      </c>
      <c r="AS159" s="19">
        <f t="shared" si="29"/>
        <v>1</v>
      </c>
      <c r="AT159" s="19">
        <f t="shared" si="30"/>
        <v>1</v>
      </c>
      <c r="AU159" s="19">
        <f t="shared" si="31"/>
        <v>1</v>
      </c>
    </row>
    <row r="160" spans="1:47">
      <c r="A160" s="279">
        <f ca="1">SUM($N$125:N160)</f>
        <v>13.4180836789506</v>
      </c>
      <c r="C160" s="19">
        <v>37</v>
      </c>
      <c r="D160" s="86">
        <f ca="1" t="shared" si="38"/>
        <v>81.2934589921903</v>
      </c>
      <c r="E160" s="251">
        <f ca="1" t="shared" si="15"/>
        <v>0.671631201441219</v>
      </c>
      <c r="F160" s="269">
        <f ca="1" t="shared" si="32"/>
        <v>83.1734993192459</v>
      </c>
      <c r="G160" s="283">
        <f ca="1" t="shared" si="43"/>
        <v>55.8619172758556</v>
      </c>
      <c r="H160" s="279">
        <f ca="1" t="shared" si="33"/>
        <v>0.528319174538417</v>
      </c>
      <c r="I160" s="269">
        <f ca="1">SUM($J$125:J160)/SUM($H$125:H160)</f>
        <v>0.707424275390799</v>
      </c>
      <c r="J160" s="284">
        <f t="shared" si="39"/>
        <v>0.38505398340159</v>
      </c>
      <c r="K160" s="19">
        <f t="shared" si="44"/>
        <v>4600</v>
      </c>
      <c r="L160" s="269">
        <f t="shared" si="34"/>
        <v>1.23</v>
      </c>
      <c r="M160" s="226">
        <f ca="1" t="shared" si="35"/>
        <v>3.421</v>
      </c>
      <c r="N160" s="280">
        <f ca="1" t="shared" si="40"/>
        <v>0.143265191136818</v>
      </c>
      <c r="O160" s="226">
        <f t="shared" si="48"/>
        <v>1.65</v>
      </c>
      <c r="P160" s="19">
        <f ca="1" t="shared" si="46"/>
        <v>11.7333333333333</v>
      </c>
      <c r="Q160" s="226">
        <f ca="1" t="shared" si="47"/>
        <v>2.07333333333333</v>
      </c>
      <c r="R160" s="269">
        <f ca="1" t="shared" si="16"/>
        <v>0.271003610932309</v>
      </c>
      <c r="S160" s="266">
        <f ca="1" t="shared" si="17"/>
        <v>25.4594029887903</v>
      </c>
      <c r="T160" s="226">
        <f ca="1">(1+OFFSET('玩法产出(新)'!$C$18,MATCH(X160,'玩法产出(新)'!$B$19:$B$25,0),1)*(1-V160)+OFFSET('玩法产出(新)'!$C$18,1+MATCH(X160,'玩法产出(新)'!$B$19:$B$25,0),1)*(V160))^AA160*(1+OFFSET('玩法产出(新)'!$C$18,MATCH(X160,'玩法产出(新)'!$B$19:$B$25,0),3)*(1-V160)+OFFSET('玩法产出(新)'!$C$18,1+MATCH(X160,'玩法产出(新)'!$B$19:$B$25,0),3)*(V160))^AB160*(1+OFFSET('玩法产出(新)'!$C$18,MATCH(X160,'玩法产出(新)'!$B$19:$B$25,0),4)*(1-V160)+OFFSET('玩法产出(新)'!$C$18,1+MATCH(X160,'玩法产出(新)'!$B$19:$B$25,0),4)*(V160))^AC160*(1+OFFSET('玩法产出(新)'!$C$18,MATCH(X160,'玩法产出(新)'!$B$19:$B$25,0),5)*(1+V160)+OFFSET('玩法产出(新)'!$C$18,1+MATCH(X160,'玩法产出(新)'!$B$19:$B$25,5),1)*(V160))^AD160*(1+OFFSET('玩法产出(新)'!$C$18,MATCH(X160,'玩法产出(新)'!$B$19:$B$25,0),6)*(1+V160)+OFFSET('玩法产出(新)'!$C$18,1+MATCH(X160,'玩法产出(新)'!$B$19:$B$25,0),6)*(V160))^AE160</f>
        <v>5.59878044962583</v>
      </c>
      <c r="U160" s="226">
        <f ca="1" t="shared" si="36"/>
        <v>0.143312026902811</v>
      </c>
      <c r="V160" s="226">
        <f ca="1">COUNTIF($X$124:$X160,X160)/(COUNTIF($X$124:$X$723,X160)+1)</f>
        <v>0.175257731958763</v>
      </c>
      <c r="W160" s="19">
        <v>30</v>
      </c>
      <c r="X160" s="19" t="str">
        <f ca="1" t="shared" si="18"/>
        <v>紫</v>
      </c>
      <c r="Y160" s="19">
        <f t="shared" si="45"/>
        <v>4860</v>
      </c>
      <c r="Z160" s="19">
        <f ca="1" t="shared" si="19"/>
        <v>1.57360824742268</v>
      </c>
      <c r="AA160" s="282">
        <f ca="1" t="shared" si="20"/>
        <v>24.6844197916667</v>
      </c>
      <c r="AB160" s="282">
        <f ca="1" t="shared" si="21"/>
        <v>4.13177083333333</v>
      </c>
      <c r="AC160" s="282">
        <f ca="1" t="shared" si="22"/>
        <v>0.90195</v>
      </c>
      <c r="AD160" s="282">
        <f ca="1" t="shared" si="23"/>
        <v>0.2254875</v>
      </c>
      <c r="AE160" s="282">
        <f ca="1" t="shared" si="24"/>
        <v>0.056371875</v>
      </c>
      <c r="AF160" s="19" t="str">
        <f t="shared" si="25"/>
        <v>红1</v>
      </c>
      <c r="AG160" s="19">
        <f>IFERROR(_xlfn.XLOOKUP(C160+1,[2]基因升级!$E$141:$E$500,[2]基因升级!$D$141:$D$500)-1,AG159)</f>
        <v>54</v>
      </c>
      <c r="AH160" s="19">
        <v>4</v>
      </c>
      <c r="AI160" s="19">
        <f t="shared" si="26"/>
        <v>5.99280531394426</v>
      </c>
      <c r="AJ160" s="19">
        <f t="shared" si="37"/>
        <v>0</v>
      </c>
      <c r="AK160" s="269">
        <v>1.5</v>
      </c>
      <c r="AQ160" s="19">
        <f t="shared" si="27"/>
        <v>1</v>
      </c>
      <c r="AR160" s="19">
        <f t="shared" si="28"/>
        <v>1</v>
      </c>
      <c r="AS160" s="19">
        <f t="shared" si="29"/>
        <v>1</v>
      </c>
      <c r="AT160" s="19">
        <f t="shared" si="30"/>
        <v>1</v>
      </c>
      <c r="AU160" s="19">
        <f t="shared" si="31"/>
        <v>1</v>
      </c>
    </row>
    <row r="161" spans="1:47">
      <c r="A161" s="279">
        <f ca="1">SUM($N$125:N161)</f>
        <v>13.5599735030244</v>
      </c>
      <c r="C161" s="19">
        <v>38</v>
      </c>
      <c r="D161" s="86">
        <f ca="1" t="shared" si="38"/>
        <v>81.9578012746209</v>
      </c>
      <c r="E161" s="251">
        <f ca="1" t="shared" si="15"/>
        <v>0.664342282430537</v>
      </c>
      <c r="F161" s="269">
        <f ca="1" t="shared" si="32"/>
        <v>84.8683453904907</v>
      </c>
      <c r="G161" s="283">
        <f ca="1" t="shared" si="43"/>
        <v>56.3816302828218</v>
      </c>
      <c r="H161" s="279">
        <f ca="1" t="shared" si="33"/>
        <v>0.519713006966221</v>
      </c>
      <c r="I161" s="269">
        <f ca="1">SUM($J$125:J161)/SUM($H$125:H161)</f>
        <v>0.707643448056059</v>
      </c>
      <c r="J161" s="284">
        <f t="shared" si="39"/>
        <v>0.377823182892449</v>
      </c>
      <c r="K161" s="19">
        <f t="shared" si="44"/>
        <v>4700</v>
      </c>
      <c r="L161" s="269">
        <f t="shared" si="34"/>
        <v>1.235</v>
      </c>
      <c r="M161" s="226">
        <f ca="1" t="shared" si="35"/>
        <v>3.454</v>
      </c>
      <c r="N161" s="280">
        <f ca="1" t="shared" si="40"/>
        <v>0.141889824073779</v>
      </c>
      <c r="O161" s="226">
        <f t="shared" si="48"/>
        <v>1.65</v>
      </c>
      <c r="P161" s="19">
        <f ca="1" t="shared" si="46"/>
        <v>11.9333333333333</v>
      </c>
      <c r="Q161" s="226">
        <f ca="1" t="shared" si="47"/>
        <v>2.09333333333333</v>
      </c>
      <c r="R161" s="269">
        <f ca="1" t="shared" si="16"/>
        <v>0.272543122912013</v>
      </c>
      <c r="S161" s="266">
        <f ca="1" t="shared" si="17"/>
        <v>25.6040322642546</v>
      </c>
      <c r="T161" s="226">
        <f ca="1">(1+OFFSET('玩法产出(新)'!$C$18,MATCH(X161,'玩法产出(新)'!$B$19:$B$25,0),1)*(1-V161)+OFFSET('玩法产出(新)'!$C$18,1+MATCH(X161,'玩法产出(新)'!$B$19:$B$25,0),1)*(V161))^AA161*(1+OFFSET('玩法产出(新)'!$C$18,MATCH(X161,'玩法产出(新)'!$B$19:$B$25,0),3)*(1-V161)+OFFSET('玩法产出(新)'!$C$18,1+MATCH(X161,'玩法产出(新)'!$B$19:$B$25,0),3)*(V161))^AB161*(1+OFFSET('玩法产出(新)'!$C$18,MATCH(X161,'玩法产出(新)'!$B$19:$B$25,0),4)*(1-V161)+OFFSET('玩法产出(新)'!$C$18,1+MATCH(X161,'玩法产出(新)'!$B$19:$B$25,0),4)*(V161))^AC161*(1+OFFSET('玩法产出(新)'!$C$18,MATCH(X161,'玩法产出(新)'!$B$19:$B$25,0),5)*(1+V161)+OFFSET('玩法产出(新)'!$C$18,1+MATCH(X161,'玩法产出(新)'!$B$19:$B$25,5),1)*(V161))^AD161*(1+OFFSET('玩法产出(新)'!$C$18,MATCH(X161,'玩法产出(新)'!$B$19:$B$25,0),6)*(1+V161)+OFFSET('玩法产出(新)'!$C$18,1+MATCH(X161,'玩法产出(新)'!$B$19:$B$25,0),6)*(V161))^AE161</f>
        <v>5.65383580574629</v>
      </c>
      <c r="U161" s="226">
        <f ca="1" t="shared" si="36"/>
        <v>0.144629275464309</v>
      </c>
      <c r="V161" s="226">
        <f ca="1">COUNTIF($X$124:$X161,X161)/(COUNTIF($X$124:$X$723,X161)+1)</f>
        <v>0.185567010309278</v>
      </c>
      <c r="W161" s="19">
        <v>30</v>
      </c>
      <c r="X161" s="19" t="str">
        <f ca="1" t="shared" si="18"/>
        <v>紫</v>
      </c>
      <c r="Y161" s="19">
        <f t="shared" si="45"/>
        <v>4960</v>
      </c>
      <c r="Z161" s="19">
        <f ca="1" t="shared" si="19"/>
        <v>1.5779381443299</v>
      </c>
      <c r="AA161" s="282">
        <f ca="1" t="shared" si="20"/>
        <v>24.5846583333333</v>
      </c>
      <c r="AB161" s="282">
        <f ca="1" t="shared" si="21"/>
        <v>4.20416666666667</v>
      </c>
      <c r="AC161" s="282">
        <f ca="1" t="shared" si="22"/>
        <v>0.9228</v>
      </c>
      <c r="AD161" s="282">
        <f ca="1" t="shared" si="23"/>
        <v>0.2307</v>
      </c>
      <c r="AE161" s="282">
        <f ca="1" t="shared" si="24"/>
        <v>0.057675</v>
      </c>
      <c r="AF161" s="19" t="str">
        <f t="shared" si="25"/>
        <v>红1</v>
      </c>
      <c r="AG161" s="19">
        <f>IFERROR(_xlfn.XLOOKUP(C161+1,[2]基因升级!$E$141:$E$500,[2]基因升级!$D$141:$D$500)-1,AG160)</f>
        <v>55</v>
      </c>
      <c r="AH161" s="19">
        <v>4</v>
      </c>
      <c r="AI161" s="19">
        <f t="shared" si="26"/>
        <v>5.99280531394426</v>
      </c>
      <c r="AJ161" s="19">
        <f t="shared" si="37"/>
        <v>0</v>
      </c>
      <c r="AK161" s="269">
        <v>1.5</v>
      </c>
      <c r="AQ161" s="19">
        <f t="shared" si="27"/>
        <v>1</v>
      </c>
      <c r="AR161" s="19">
        <f t="shared" si="28"/>
        <v>1</v>
      </c>
      <c r="AS161" s="19">
        <f t="shared" si="29"/>
        <v>1</v>
      </c>
      <c r="AT161" s="19">
        <f t="shared" si="30"/>
        <v>1</v>
      </c>
      <c r="AU161" s="19">
        <f t="shared" si="31"/>
        <v>1</v>
      </c>
    </row>
    <row r="162" spans="1:47">
      <c r="A162" s="279">
        <f ca="1">SUM($N$125:N162)</f>
        <v>13.7005141165826</v>
      </c>
      <c r="C162" s="19">
        <v>39</v>
      </c>
      <c r="D162" s="86">
        <f ca="1" t="shared" si="38"/>
        <v>82.6151741097091</v>
      </c>
      <c r="E162" s="251">
        <f ca="1" t="shared" si="15"/>
        <v>0.657372835088234</v>
      </c>
      <c r="F162" s="269">
        <f ca="1" t="shared" si="32"/>
        <v>86.5461065929192</v>
      </c>
      <c r="G162" s="283">
        <f ca="1" t="shared" si="43"/>
        <v>56.8930594568357</v>
      </c>
      <c r="H162" s="279">
        <f ca="1" t="shared" si="33"/>
        <v>0.511429174013969</v>
      </c>
      <c r="I162" s="269">
        <f ca="1">SUM($J$125:J162)/SUM($H$125:H162)</f>
        <v>0.707834927486578</v>
      </c>
      <c r="J162" s="284">
        <f t="shared" si="39"/>
        <v>0.370888560455782</v>
      </c>
      <c r="K162" s="19">
        <f t="shared" si="44"/>
        <v>4800</v>
      </c>
      <c r="L162" s="269">
        <f t="shared" si="34"/>
        <v>1.24</v>
      </c>
      <c r="M162" s="226">
        <f ca="1" t="shared" si="35"/>
        <v>3.487</v>
      </c>
      <c r="N162" s="280">
        <f ca="1" t="shared" si="40"/>
        <v>0.140540613558178</v>
      </c>
      <c r="O162" s="226">
        <f t="shared" si="48"/>
        <v>1.65</v>
      </c>
      <c r="P162" s="19">
        <f ca="1" t="shared" si="46"/>
        <v>12.1333333333333</v>
      </c>
      <c r="Q162" s="226">
        <f ca="1" t="shared" si="47"/>
        <v>2.11333333333333</v>
      </c>
      <c r="R162" s="269">
        <f ca="1" t="shared" si="16"/>
        <v>0.274096625920753</v>
      </c>
      <c r="S162" s="266">
        <f ca="1" t="shared" si="17"/>
        <v>25.7499759253288</v>
      </c>
      <c r="T162" s="226">
        <f ca="1">(1+OFFSET('玩法产出(新)'!$C$18,MATCH(X162,'玩法产出(新)'!$B$19:$B$25,0),1)*(1-V162)+OFFSET('玩法产出(新)'!$C$18,1+MATCH(X162,'玩法产出(新)'!$B$19:$B$25,0),1)*(V162))^AA162*(1+OFFSET('玩法产出(新)'!$C$18,MATCH(X162,'玩法产出(新)'!$B$19:$B$25,0),3)*(1-V162)+OFFSET('玩法产出(新)'!$C$18,1+MATCH(X162,'玩法产出(新)'!$B$19:$B$25,0),3)*(V162))^AB162*(1+OFFSET('玩法产出(新)'!$C$18,MATCH(X162,'玩法产出(新)'!$B$19:$B$25,0),4)*(1-V162)+OFFSET('玩法产出(新)'!$C$18,1+MATCH(X162,'玩法产出(新)'!$B$19:$B$25,0),4)*(V162))^AC162*(1+OFFSET('玩法产出(新)'!$C$18,MATCH(X162,'玩法产出(新)'!$B$19:$B$25,0),5)*(1+V162)+OFFSET('玩法产出(新)'!$C$18,1+MATCH(X162,'玩法产出(新)'!$B$19:$B$25,5),1)*(V162))^AD162*(1+OFFSET('玩法产出(新)'!$C$18,MATCH(X162,'玩法产出(新)'!$B$19:$B$25,0),6)*(1+V162)+OFFSET('玩法产出(新)'!$C$18,1+MATCH(X162,'玩法产出(新)'!$B$19:$B$25,0),6)*(V162))^AE162</f>
        <v>5.70994030610543</v>
      </c>
      <c r="U162" s="226">
        <f ca="1" t="shared" si="36"/>
        <v>0.145943661074273</v>
      </c>
      <c r="V162" s="226">
        <f ca="1">COUNTIF($X$124:$X162,X162)/(COUNTIF($X$124:$X$723,X162)+1)</f>
        <v>0.195876288659794</v>
      </c>
      <c r="W162" s="19">
        <v>30</v>
      </c>
      <c r="X162" s="19" t="str">
        <f ca="1" t="shared" si="18"/>
        <v>紫</v>
      </c>
      <c r="Y162" s="19">
        <f t="shared" si="45"/>
        <v>5060</v>
      </c>
      <c r="Z162" s="19">
        <f ca="1" t="shared" si="19"/>
        <v>1.58226804123711</v>
      </c>
      <c r="AA162" s="282">
        <f ca="1" t="shared" si="20"/>
        <v>24.484896875</v>
      </c>
      <c r="AB162" s="282">
        <f ca="1" t="shared" si="21"/>
        <v>4.2765625</v>
      </c>
      <c r="AC162" s="282">
        <f ca="1" t="shared" si="22"/>
        <v>0.94365</v>
      </c>
      <c r="AD162" s="282">
        <f ca="1" t="shared" si="23"/>
        <v>0.2359125</v>
      </c>
      <c r="AE162" s="282">
        <f ca="1" t="shared" si="24"/>
        <v>0.058978125</v>
      </c>
      <c r="AF162" s="19" t="str">
        <f t="shared" si="25"/>
        <v>红1</v>
      </c>
      <c r="AG162" s="19">
        <f>IFERROR(_xlfn.XLOOKUP(C162+1,[2]基因升级!$E$141:$E$500,[2]基因升级!$D$141:$D$500)-1,AG161)</f>
        <v>55</v>
      </c>
      <c r="AH162" s="19">
        <v>4</v>
      </c>
      <c r="AI162" s="19">
        <f t="shared" si="26"/>
        <v>5.99280531394426</v>
      </c>
      <c r="AJ162" s="19">
        <f t="shared" si="37"/>
        <v>0</v>
      </c>
      <c r="AK162" s="269">
        <v>1.5</v>
      </c>
      <c r="AQ162" s="19">
        <f t="shared" si="27"/>
        <v>1</v>
      </c>
      <c r="AR162" s="19">
        <f t="shared" si="28"/>
        <v>1</v>
      </c>
      <c r="AS162" s="19">
        <f t="shared" si="29"/>
        <v>1</v>
      </c>
      <c r="AT162" s="19">
        <f t="shared" si="30"/>
        <v>1</v>
      </c>
      <c r="AU162" s="19">
        <f t="shared" si="31"/>
        <v>1</v>
      </c>
    </row>
    <row r="163" spans="1:47">
      <c r="A163" s="279">
        <f ca="1">SUM($N$125:N163)</f>
        <v>13.8397309370329</v>
      </c>
      <c r="C163" s="19">
        <v>40</v>
      </c>
      <c r="D163" s="86">
        <f ca="1" t="shared" si="38"/>
        <v>83.2658780177739</v>
      </c>
      <c r="E163" s="251">
        <f ca="1" t="shared" si="15"/>
        <v>0.650703908064793</v>
      </c>
      <c r="F163" s="269">
        <f ca="1" t="shared" si="32"/>
        <v>88.2067979880031</v>
      </c>
      <c r="G163" s="283">
        <f ca="1" t="shared" si="43"/>
        <v>57.3965081686754</v>
      </c>
      <c r="H163" s="279">
        <f ca="1" t="shared" si="33"/>
        <v>0.503448711839638</v>
      </c>
      <c r="I163" s="269">
        <f ca="1">SUM($J$125:J163)/SUM($H$125:H163)</f>
        <v>0.708001043288253</v>
      </c>
      <c r="J163" s="284">
        <f t="shared" si="39"/>
        <v>0.364231891389302</v>
      </c>
      <c r="K163" s="19">
        <f t="shared" si="44"/>
        <v>4900</v>
      </c>
      <c r="L163" s="269">
        <f t="shared" si="34"/>
        <v>1.245</v>
      </c>
      <c r="M163" s="226">
        <f ca="1" t="shared" si="35"/>
        <v>3.52</v>
      </c>
      <c r="N163" s="280">
        <f ca="1" t="shared" si="40"/>
        <v>0.139216820450342</v>
      </c>
      <c r="O163" s="226">
        <f t="shared" si="48"/>
        <v>1.65</v>
      </c>
      <c r="P163" s="19">
        <f ca="1" t="shared" si="46"/>
        <v>12.3333333333333</v>
      </c>
      <c r="Q163" s="226">
        <f ca="1" t="shared" si="47"/>
        <v>2.13333333333333</v>
      </c>
      <c r="R163" s="269">
        <f ca="1" t="shared" si="16"/>
        <v>0.275664089616706</v>
      </c>
      <c r="S163" s="266">
        <f ca="1" t="shared" si="17"/>
        <v>25.897231121554</v>
      </c>
      <c r="T163" s="226">
        <f ca="1">(1+OFFSET('玩法产出(新)'!$C$18,MATCH(X163,'玩法产出(新)'!$B$19:$B$25,0),1)*(1-V163)+OFFSET('玩法产出(新)'!$C$18,1+MATCH(X163,'玩法产出(新)'!$B$19:$B$25,0),1)*(V163))^AA163*(1+OFFSET('玩法产出(新)'!$C$18,MATCH(X163,'玩法产出(新)'!$B$19:$B$25,0),3)*(1-V163)+OFFSET('玩法产出(新)'!$C$18,1+MATCH(X163,'玩法产出(新)'!$B$19:$B$25,0),3)*(V163))^AB163*(1+OFFSET('玩法产出(新)'!$C$18,MATCH(X163,'玩法产出(新)'!$B$19:$B$25,0),4)*(1-V163)+OFFSET('玩法产出(新)'!$C$18,1+MATCH(X163,'玩法产出(新)'!$B$19:$B$25,0),4)*(V163))^AC163*(1+OFFSET('玩法产出(新)'!$C$18,MATCH(X163,'玩法产出(新)'!$B$19:$B$25,0),5)*(1+V163)+OFFSET('玩法产出(新)'!$C$18,1+MATCH(X163,'玩法产出(新)'!$B$19:$B$25,5),1)*(V163))^AD163*(1+OFFSET('玩法产出(新)'!$C$18,MATCH(X163,'玩法产出(新)'!$B$19:$B$25,0),6)*(1+V163)+OFFSET('玩法产出(新)'!$C$18,1+MATCH(X163,'玩法产出(新)'!$B$19:$B$25,0),6)*(V163))^AE163</f>
        <v>5.76711327805525</v>
      </c>
      <c r="U163" s="226">
        <f ca="1" t="shared" si="36"/>
        <v>0.14725519622515</v>
      </c>
      <c r="V163" s="226">
        <f ca="1">COUNTIF($X$124:$X163,X163)/(COUNTIF($X$124:$X$723,X163)+1)</f>
        <v>0.206185567010309</v>
      </c>
      <c r="W163" s="19">
        <v>30</v>
      </c>
      <c r="X163" s="19" t="str">
        <f ca="1" t="shared" si="18"/>
        <v>紫</v>
      </c>
      <c r="Y163" s="19">
        <f t="shared" si="45"/>
        <v>5160</v>
      </c>
      <c r="Z163" s="19">
        <f ca="1" t="shared" si="19"/>
        <v>1.58659793814433</v>
      </c>
      <c r="AA163" s="282">
        <f ca="1" t="shared" si="20"/>
        <v>24.3851354166667</v>
      </c>
      <c r="AB163" s="282">
        <f ca="1" t="shared" si="21"/>
        <v>4.34895833333333</v>
      </c>
      <c r="AC163" s="282">
        <f ca="1" t="shared" si="22"/>
        <v>0.9645</v>
      </c>
      <c r="AD163" s="282">
        <f ca="1" t="shared" si="23"/>
        <v>0.241125</v>
      </c>
      <c r="AE163" s="282">
        <f ca="1" t="shared" si="24"/>
        <v>0.06028125</v>
      </c>
      <c r="AF163" s="19" t="str">
        <f t="shared" si="25"/>
        <v>红1</v>
      </c>
      <c r="AG163" s="19">
        <f>IFERROR(_xlfn.XLOOKUP(C163+1,[2]基因升级!$E$141:$E$500,[2]基因升级!$D$141:$D$500)-1,AG162)</f>
        <v>56</v>
      </c>
      <c r="AH163" s="19">
        <v>4</v>
      </c>
      <c r="AI163" s="19">
        <f t="shared" si="26"/>
        <v>5.99280531394426</v>
      </c>
      <c r="AJ163" s="19">
        <f t="shared" si="37"/>
        <v>0</v>
      </c>
      <c r="AK163" s="269">
        <v>1.5</v>
      </c>
      <c r="AQ163" s="19">
        <f t="shared" si="27"/>
        <v>1</v>
      </c>
      <c r="AR163" s="19">
        <f t="shared" si="28"/>
        <v>1</v>
      </c>
      <c r="AS163" s="19">
        <f t="shared" si="29"/>
        <v>1</v>
      </c>
      <c r="AT163" s="19">
        <f t="shared" si="30"/>
        <v>1</v>
      </c>
      <c r="AU163" s="19">
        <f t="shared" si="31"/>
        <v>1</v>
      </c>
    </row>
    <row r="164" spans="1:47">
      <c r="A164" s="279">
        <f ca="1">SUM($N$125:N164)</f>
        <v>13.9776486702329</v>
      </c>
      <c r="C164" s="19">
        <v>41</v>
      </c>
      <c r="D164" s="86">
        <f ca="1" t="shared" si="38"/>
        <v>83.910196066707</v>
      </c>
      <c r="E164" s="251">
        <f ca="1" t="shared" si="15"/>
        <v>0.644318048933089</v>
      </c>
      <c r="F164" s="269">
        <f ca="1" t="shared" si="32"/>
        <v>89.8504433022622</v>
      </c>
      <c r="G164" s="283">
        <f ca="1" t="shared" si="43"/>
        <v>57.8922623242868</v>
      </c>
      <c r="H164" s="279">
        <f ca="1" t="shared" si="33"/>
        <v>0.495754155611372</v>
      </c>
      <c r="I164" s="269">
        <f ca="1">SUM($J$125:J164)/SUM($H$125:H164)</f>
        <v>0.708143904842333</v>
      </c>
      <c r="J164" s="284">
        <f t="shared" si="39"/>
        <v>0.357836422411367</v>
      </c>
      <c r="K164" s="19">
        <f t="shared" si="44"/>
        <v>5000</v>
      </c>
      <c r="L164" s="269">
        <f t="shared" si="34"/>
        <v>1.25</v>
      </c>
      <c r="M164" s="226">
        <f ca="1" t="shared" si="35"/>
        <v>3.553</v>
      </c>
      <c r="N164" s="280">
        <f ca="1" t="shared" si="40"/>
        <v>0.137917733199998</v>
      </c>
      <c r="O164" s="226">
        <f t="shared" si="48"/>
        <v>1.65</v>
      </c>
      <c r="P164" s="19">
        <f ca="1" t="shared" si="46"/>
        <v>12.5333333333333</v>
      </c>
      <c r="Q164" s="226">
        <f ca="1" t="shared" si="47"/>
        <v>2.15333333333333</v>
      </c>
      <c r="R164" s="269">
        <f ca="1" t="shared" si="16"/>
        <v>0.277245483790091</v>
      </c>
      <c r="S164" s="266">
        <f ca="1" t="shared" si="17"/>
        <v>26.0457950148757</v>
      </c>
      <c r="T164" s="226">
        <f ca="1">(1+OFFSET('玩法产出(新)'!$C$18,MATCH(X164,'玩法产出(新)'!$B$19:$B$25,0),1)*(1-V164)+OFFSET('玩法产出(新)'!$C$18,1+MATCH(X164,'玩法产出(新)'!$B$19:$B$25,0),1)*(V164))^AA164*(1+OFFSET('玩法产出(新)'!$C$18,MATCH(X164,'玩法产出(新)'!$B$19:$B$25,0),3)*(1-V164)+OFFSET('玩法产出(新)'!$C$18,1+MATCH(X164,'玩法产出(新)'!$B$19:$B$25,0),3)*(V164))^AB164*(1+OFFSET('玩法产出(新)'!$C$18,MATCH(X164,'玩法产出(新)'!$B$19:$B$25,0),4)*(1-V164)+OFFSET('玩法产出(新)'!$C$18,1+MATCH(X164,'玩法产出(新)'!$B$19:$B$25,0),4)*(V164))^AC164*(1+OFFSET('玩法产出(新)'!$C$18,MATCH(X164,'玩法产出(新)'!$B$19:$B$25,0),5)*(1+V164)+OFFSET('玩法产出(新)'!$C$18,1+MATCH(X164,'玩法产出(新)'!$B$19:$B$25,5),1)*(V164))^AD164*(1+OFFSET('玩法产出(新)'!$C$18,MATCH(X164,'玩法产出(新)'!$B$19:$B$25,0),6)*(1+V164)+OFFSET('玩法产出(新)'!$C$18,1+MATCH(X164,'玩法产出(新)'!$B$19:$B$25,0),6)*(V164))^AE164</f>
        <v>5.82537449942847</v>
      </c>
      <c r="U164" s="226">
        <f ca="1" t="shared" si="36"/>
        <v>0.148563893321724</v>
      </c>
      <c r="V164" s="226">
        <f ca="1">COUNTIF($X$124:$X164,X164)/(COUNTIF($X$124:$X$723,X164)+1)</f>
        <v>0.216494845360825</v>
      </c>
      <c r="W164" s="19">
        <v>30</v>
      </c>
      <c r="X164" s="19" t="str">
        <f ca="1" t="shared" si="18"/>
        <v>紫</v>
      </c>
      <c r="Y164" s="19">
        <f t="shared" si="45"/>
        <v>5260</v>
      </c>
      <c r="Z164" s="19">
        <f ca="1" t="shared" si="19"/>
        <v>1.59092783505155</v>
      </c>
      <c r="AA164" s="282">
        <f ca="1" t="shared" si="20"/>
        <v>24.2853739583333</v>
      </c>
      <c r="AB164" s="282">
        <f ca="1" t="shared" si="21"/>
        <v>4.42135416666667</v>
      </c>
      <c r="AC164" s="282">
        <f ca="1" t="shared" si="22"/>
        <v>0.98535</v>
      </c>
      <c r="AD164" s="282">
        <f ca="1" t="shared" si="23"/>
        <v>0.2463375</v>
      </c>
      <c r="AE164" s="282">
        <f ca="1" t="shared" si="24"/>
        <v>0.061584375</v>
      </c>
      <c r="AF164" s="19" t="str">
        <f t="shared" si="25"/>
        <v>红1</v>
      </c>
      <c r="AG164" s="19">
        <f>IFERROR(_xlfn.XLOOKUP(C164+1,[2]基因升级!$E$141:$E$500,[2]基因升级!$D$141:$D$500)-1,AG163)</f>
        <v>56</v>
      </c>
      <c r="AH164" s="19">
        <v>4</v>
      </c>
      <c r="AI164" s="19">
        <f t="shared" si="26"/>
        <v>5.99280531394426</v>
      </c>
      <c r="AJ164" s="19">
        <f t="shared" si="37"/>
        <v>0</v>
      </c>
      <c r="AK164" s="269">
        <v>1.5</v>
      </c>
      <c r="AQ164" s="19">
        <f t="shared" si="27"/>
        <v>1</v>
      </c>
      <c r="AR164" s="19">
        <f t="shared" si="28"/>
        <v>1</v>
      </c>
      <c r="AS164" s="19">
        <f t="shared" si="29"/>
        <v>1</v>
      </c>
      <c r="AT164" s="19">
        <f t="shared" si="30"/>
        <v>1</v>
      </c>
      <c r="AU164" s="19">
        <f t="shared" si="31"/>
        <v>1</v>
      </c>
    </row>
    <row r="165" spans="1:47">
      <c r="A165" s="279">
        <f ca="1">SUM($N$125:N165)</f>
        <v>14.1142913368039</v>
      </c>
      <c r="C165" s="19">
        <v>42</v>
      </c>
      <c r="D165" s="86">
        <f ca="1" t="shared" si="38"/>
        <v>84.5483952239359</v>
      </c>
      <c r="E165" s="251">
        <f ca="1" t="shared" si="15"/>
        <v>0.638199157228886</v>
      </c>
      <c r="F165" s="269">
        <f ca="1" t="shared" si="32"/>
        <v>91.4770742887332</v>
      </c>
      <c r="G165" s="283">
        <f ca="1" t="shared" si="43"/>
        <v>58.3805917168337</v>
      </c>
      <c r="H165" s="279">
        <f ca="1" t="shared" si="33"/>
        <v>0.48832939254698</v>
      </c>
      <c r="I165" s="269">
        <f ca="1">SUM($J$125:J165)/SUM($H$125:H165)</f>
        <v>0.708265425536476</v>
      </c>
      <c r="J165" s="284">
        <f t="shared" si="39"/>
        <v>0.351686725976002</v>
      </c>
      <c r="K165" s="19">
        <f t="shared" si="44"/>
        <v>5100</v>
      </c>
      <c r="L165" s="269">
        <f t="shared" si="34"/>
        <v>1.255</v>
      </c>
      <c r="M165" s="226">
        <f ca="1" t="shared" si="35"/>
        <v>3.586</v>
      </c>
      <c r="N165" s="280">
        <f ca="1" t="shared" si="40"/>
        <v>0.136642666570985</v>
      </c>
      <c r="O165" s="226">
        <f t="shared" si="48"/>
        <v>1.65</v>
      </c>
      <c r="P165" s="19">
        <f ca="1" t="shared" si="46"/>
        <v>12.7333333333333</v>
      </c>
      <c r="Q165" s="226">
        <f ca="1" t="shared" si="47"/>
        <v>2.17333333333333</v>
      </c>
      <c r="R165" s="269">
        <f ca="1" t="shared" si="16"/>
        <v>0.278840778362248</v>
      </c>
      <c r="S165" s="266">
        <f ca="1" t="shared" si="17"/>
        <v>26.1956647795576</v>
      </c>
      <c r="T165" s="226">
        <f ca="1">(1+OFFSET('玩法产出(新)'!$C$18,MATCH(X165,'玩法产出(新)'!$B$19:$B$25,0),1)*(1-V165)+OFFSET('玩法产出(新)'!$C$18,1+MATCH(X165,'玩法产出(新)'!$B$19:$B$25,0),1)*(V165))^AA165*(1+OFFSET('玩法产出(新)'!$C$18,MATCH(X165,'玩法产出(新)'!$B$19:$B$25,0),3)*(1-V165)+OFFSET('玩法产出(新)'!$C$18,1+MATCH(X165,'玩法产出(新)'!$B$19:$B$25,0),3)*(V165))^AB165*(1+OFFSET('玩法产出(新)'!$C$18,MATCH(X165,'玩法产出(新)'!$B$19:$B$25,0),4)*(1-V165)+OFFSET('玩法产出(新)'!$C$18,1+MATCH(X165,'玩法产出(新)'!$B$19:$B$25,0),4)*(V165))^AC165*(1+OFFSET('玩法产出(新)'!$C$18,MATCH(X165,'玩法产出(新)'!$B$19:$B$25,0),5)*(1+V165)+OFFSET('玩法产出(新)'!$C$18,1+MATCH(X165,'玩法产出(新)'!$B$19:$B$25,5),1)*(V165))^AD165*(1+OFFSET('玩法产出(新)'!$C$18,MATCH(X165,'玩法产出(新)'!$B$19:$B$25,0),6)*(1+V165)+OFFSET('玩法产出(新)'!$C$18,1+MATCH(X165,'玩法产出(新)'!$B$19:$B$25,0),6)*(V165))^AE165</f>
        <v>5.88474420900681</v>
      </c>
      <c r="U165" s="226">
        <f ca="1" t="shared" si="36"/>
        <v>0.149869764681899</v>
      </c>
      <c r="V165" s="226">
        <f ca="1">COUNTIF($X$124:$X165,X165)/(COUNTIF($X$124:$X$723,X165)+1)</f>
        <v>0.22680412371134</v>
      </c>
      <c r="W165" s="19">
        <v>30</v>
      </c>
      <c r="X165" s="19" t="str">
        <f ca="1" t="shared" si="18"/>
        <v>紫</v>
      </c>
      <c r="Y165" s="19">
        <f t="shared" si="45"/>
        <v>5360</v>
      </c>
      <c r="Z165" s="19">
        <f ca="1" t="shared" si="19"/>
        <v>1.59525773195876</v>
      </c>
      <c r="AA165" s="282">
        <f ca="1" t="shared" si="20"/>
        <v>24.1856125</v>
      </c>
      <c r="AB165" s="282">
        <f ca="1" t="shared" si="21"/>
        <v>4.49375</v>
      </c>
      <c r="AC165" s="282">
        <f ca="1" t="shared" si="22"/>
        <v>1.0062</v>
      </c>
      <c r="AD165" s="282">
        <f ca="1" t="shared" si="23"/>
        <v>0.25155</v>
      </c>
      <c r="AE165" s="282">
        <f ca="1" t="shared" si="24"/>
        <v>0.0628875</v>
      </c>
      <c r="AF165" s="19" t="str">
        <f t="shared" si="25"/>
        <v>红1</v>
      </c>
      <c r="AG165" s="19">
        <f>IFERROR(_xlfn.XLOOKUP(C165+1,[2]基因升级!$E$141:$E$500,[2]基因升级!$D$141:$D$500)-1,AG164)</f>
        <v>56</v>
      </c>
      <c r="AH165" s="19">
        <v>4</v>
      </c>
      <c r="AI165" s="19">
        <f t="shared" si="26"/>
        <v>5.99280531394426</v>
      </c>
      <c r="AJ165" s="19">
        <f t="shared" si="37"/>
        <v>0</v>
      </c>
      <c r="AK165" s="269">
        <v>1.5</v>
      </c>
      <c r="AQ165" s="19">
        <f t="shared" si="27"/>
        <v>1</v>
      </c>
      <c r="AR165" s="19">
        <f t="shared" si="28"/>
        <v>1</v>
      </c>
      <c r="AS165" s="19">
        <f t="shared" si="29"/>
        <v>1</v>
      </c>
      <c r="AT165" s="19">
        <f t="shared" si="30"/>
        <v>1</v>
      </c>
      <c r="AU165" s="19">
        <f t="shared" si="31"/>
        <v>1</v>
      </c>
    </row>
    <row r="166" spans="1:47">
      <c r="A166" s="279">
        <f ca="1">SUM($N$125:N166)</f>
        <v>14.2496822972398</v>
      </c>
      <c r="C166" s="19">
        <v>43</v>
      </c>
      <c r="D166" s="86">
        <f ca="1" t="shared" si="38"/>
        <v>85.1807275784734</v>
      </c>
      <c r="E166" s="251">
        <f ca="1" t="shared" si="15"/>
        <v>0.632332354537509</v>
      </c>
      <c r="F166" s="269">
        <f ca="1" t="shared" si="32"/>
        <v>93.086730145076</v>
      </c>
      <c r="G166" s="283">
        <f ca="1" t="shared" si="43"/>
        <v>58.8617512488336</v>
      </c>
      <c r="H166" s="279">
        <f ca="1" t="shared" si="33"/>
        <v>0.481159531999886</v>
      </c>
      <c r="I166" s="269">
        <f ca="1">SUM($J$125:J166)/SUM($H$125:H166)</f>
        <v>0.708367343923638</v>
      </c>
      <c r="J166" s="284">
        <f t="shared" si="39"/>
        <v>0.345768571563987</v>
      </c>
      <c r="K166" s="19">
        <f t="shared" si="44"/>
        <v>5200</v>
      </c>
      <c r="L166" s="269">
        <f t="shared" si="34"/>
        <v>1.26</v>
      </c>
      <c r="M166" s="226">
        <f ca="1" t="shared" si="35"/>
        <v>3.619</v>
      </c>
      <c r="N166" s="280">
        <f ca="1" t="shared" si="40"/>
        <v>0.135390960435894</v>
      </c>
      <c r="O166" s="226">
        <f t="shared" si="48"/>
        <v>1.65</v>
      </c>
      <c r="P166" s="19">
        <f ca="1" t="shared" si="46"/>
        <v>12.9333333333333</v>
      </c>
      <c r="Q166" s="226">
        <f ca="1" t="shared" si="47"/>
        <v>2.19333333333333</v>
      </c>
      <c r="R166" s="269">
        <f ca="1" t="shared" si="16"/>
        <v>0.280449943384718</v>
      </c>
      <c r="S166" s="266">
        <f ca="1" t="shared" si="17"/>
        <v>26.3468376020952</v>
      </c>
      <c r="T166" s="226">
        <f ca="1">(1+OFFSET('玩法产出(新)'!$C$18,MATCH(X166,'玩法产出(新)'!$B$19:$B$25,0),1)*(1-V166)+OFFSET('玩法产出(新)'!$C$18,1+MATCH(X166,'玩法产出(新)'!$B$19:$B$25,0),1)*(V166))^AA166*(1+OFFSET('玩法产出(新)'!$C$18,MATCH(X166,'玩法产出(新)'!$B$19:$B$25,0),3)*(1-V166)+OFFSET('玩法产出(新)'!$C$18,1+MATCH(X166,'玩法产出(新)'!$B$19:$B$25,0),3)*(V166))^AB166*(1+OFFSET('玩法产出(新)'!$C$18,MATCH(X166,'玩法产出(新)'!$B$19:$B$25,0),4)*(1-V166)+OFFSET('玩法产出(新)'!$C$18,1+MATCH(X166,'玩法产出(新)'!$B$19:$B$25,0),4)*(V166))^AC166*(1+OFFSET('玩法产出(新)'!$C$18,MATCH(X166,'玩法产出(新)'!$B$19:$B$25,0),5)*(1+V166)+OFFSET('玩法产出(新)'!$C$18,1+MATCH(X166,'玩法产出(新)'!$B$19:$B$25,5),1)*(V166))^AD166*(1+OFFSET('玩法产出(新)'!$C$18,MATCH(X166,'玩法产出(新)'!$B$19:$B$25,0),6)*(1+V166)+OFFSET('玩法产出(新)'!$C$18,1+MATCH(X166,'玩法产出(新)'!$B$19:$B$25,0),6)*(V166))^AE166</f>
        <v>5.94524311726898</v>
      </c>
      <c r="U166" s="226">
        <f ca="1" t="shared" si="36"/>
        <v>0.151172822537628</v>
      </c>
      <c r="V166" s="226">
        <f ca="1">COUNTIF($X$124:$X166,X166)/(COUNTIF($X$124:$X$723,X166)+1)</f>
        <v>0.237113402061856</v>
      </c>
      <c r="W166" s="19">
        <v>30</v>
      </c>
      <c r="X166" s="19" t="str">
        <f ca="1" t="shared" si="18"/>
        <v>紫</v>
      </c>
      <c r="Y166" s="19">
        <f t="shared" si="45"/>
        <v>5460</v>
      </c>
      <c r="Z166" s="19">
        <f ca="1" t="shared" si="19"/>
        <v>1.59958762886598</v>
      </c>
      <c r="AA166" s="282">
        <f ca="1" t="shared" si="20"/>
        <v>24.0858510416667</v>
      </c>
      <c r="AB166" s="282">
        <f ca="1" t="shared" si="21"/>
        <v>4.56614583333333</v>
      </c>
      <c r="AC166" s="282">
        <f ca="1" t="shared" si="22"/>
        <v>1.02705</v>
      </c>
      <c r="AD166" s="282">
        <f ca="1" t="shared" si="23"/>
        <v>0.2567625</v>
      </c>
      <c r="AE166" s="282">
        <f ca="1" t="shared" si="24"/>
        <v>0.064190625</v>
      </c>
      <c r="AF166" s="19" t="str">
        <f t="shared" si="25"/>
        <v>红1</v>
      </c>
      <c r="AG166" s="19">
        <f>IFERROR(_xlfn.XLOOKUP(C166+1,[2]基因升级!$E$141:$E$500,[2]基因升级!$D$141:$D$500)-1,AG165)</f>
        <v>57</v>
      </c>
      <c r="AH166" s="19">
        <v>4</v>
      </c>
      <c r="AI166" s="19">
        <f t="shared" si="26"/>
        <v>5.99280531394426</v>
      </c>
      <c r="AJ166" s="19">
        <f t="shared" si="37"/>
        <v>0</v>
      </c>
      <c r="AK166" s="269">
        <v>1.5</v>
      </c>
      <c r="AQ166" s="19">
        <f t="shared" si="27"/>
        <v>1</v>
      </c>
      <c r="AR166" s="19">
        <f t="shared" si="28"/>
        <v>1</v>
      </c>
      <c r="AS166" s="19">
        <f t="shared" si="29"/>
        <v>1</v>
      </c>
      <c r="AT166" s="19">
        <f t="shared" si="30"/>
        <v>1</v>
      </c>
      <c r="AU166" s="19">
        <f t="shared" si="31"/>
        <v>1</v>
      </c>
    </row>
    <row r="167" spans="1:47">
      <c r="A167" s="279">
        <f ca="1">SUM($N$125:N167)</f>
        <v>14.3838442758763</v>
      </c>
      <c r="C167" s="19">
        <v>44</v>
      </c>
      <c r="D167" s="86">
        <f ca="1" t="shared" si="38"/>
        <v>85.8074314478319</v>
      </c>
      <c r="E167" s="251">
        <f ca="1" t="shared" si="15"/>
        <v>0.626703869358562</v>
      </c>
      <c r="F167" s="269">
        <f ca="1" t="shared" si="32"/>
        <v>94.6794569816321</v>
      </c>
      <c r="G167" s="283">
        <f ca="1" t="shared" si="43"/>
        <v>59.3359820391564</v>
      </c>
      <c r="H167" s="279">
        <f ca="1" t="shared" si="33"/>
        <v>0.474230790322771</v>
      </c>
      <c r="I167" s="269">
        <f ca="1">SUM($J$125:J167)/SUM($H$125:H167)</f>
        <v>0.708451242250325</v>
      </c>
      <c r="J167" s="284">
        <f t="shared" si="39"/>
        <v>0.340068811686294</v>
      </c>
      <c r="K167" s="19">
        <f t="shared" si="44"/>
        <v>5300</v>
      </c>
      <c r="L167" s="269">
        <f t="shared" si="34"/>
        <v>1.265</v>
      </c>
      <c r="M167" s="226">
        <f ca="1" t="shared" si="35"/>
        <v>3.652</v>
      </c>
      <c r="N167" s="280">
        <f ca="1" t="shared" si="40"/>
        <v>0.134161978636474</v>
      </c>
      <c r="O167" s="226">
        <f t="shared" si="48"/>
        <v>1.65</v>
      </c>
      <c r="P167" s="19">
        <f ca="1" t="shared" si="46"/>
        <v>13.1333333333333</v>
      </c>
      <c r="Q167" s="226">
        <f ca="1" t="shared" si="47"/>
        <v>2.21333333333333</v>
      </c>
      <c r="R167" s="269">
        <f ca="1" t="shared" si="16"/>
        <v>0.282072949038341</v>
      </c>
      <c r="S167" s="266">
        <f ca="1" t="shared" si="17"/>
        <v>26.499310681131</v>
      </c>
      <c r="T167" s="226">
        <f ca="1">(1+OFFSET('玩法产出(新)'!$C$18,MATCH(X167,'玩法产出(新)'!$B$19:$B$25,0),1)*(1-V167)+OFFSET('玩法产出(新)'!$C$18,1+MATCH(X167,'玩法产出(新)'!$B$19:$B$25,0),1)*(V167))^AA167*(1+OFFSET('玩法产出(新)'!$C$18,MATCH(X167,'玩法产出(新)'!$B$19:$B$25,0),3)*(1-V167)+OFFSET('玩法产出(新)'!$C$18,1+MATCH(X167,'玩法产出(新)'!$B$19:$B$25,0),3)*(V167))^AB167*(1+OFFSET('玩法产出(新)'!$C$18,MATCH(X167,'玩法产出(新)'!$B$19:$B$25,0),4)*(1-V167)+OFFSET('玩法产出(新)'!$C$18,1+MATCH(X167,'玩法产出(新)'!$B$19:$B$25,0),4)*(V167))^AC167*(1+OFFSET('玩法产出(新)'!$C$18,MATCH(X167,'玩法产出(新)'!$B$19:$B$25,0),5)*(1+V167)+OFFSET('玩法产出(新)'!$C$18,1+MATCH(X167,'玩法产出(新)'!$B$19:$B$25,5),1)*(V167))^AD167*(1+OFFSET('玩法产出(新)'!$C$18,MATCH(X167,'玩法产出(新)'!$B$19:$B$25,0),6)*(1+V167)+OFFSET('玩法产出(新)'!$C$18,1+MATCH(X167,'玩法产出(新)'!$B$19:$B$25,0),6)*(V167))^AE167</f>
        <v>6.00689241742569</v>
      </c>
      <c r="U167" s="226">
        <f ca="1" t="shared" si="36"/>
        <v>0.152473079035794</v>
      </c>
      <c r="V167" s="226">
        <f ca="1">COUNTIF($X$124:$X167,X167)/(COUNTIF($X$124:$X$723,X167)+1)</f>
        <v>0.247422680412371</v>
      </c>
      <c r="W167" s="19">
        <v>30</v>
      </c>
      <c r="X167" s="19" t="str">
        <f ca="1" t="shared" si="18"/>
        <v>紫</v>
      </c>
      <c r="Y167" s="19">
        <f t="shared" si="45"/>
        <v>5560</v>
      </c>
      <c r="Z167" s="19">
        <f ca="1" t="shared" si="19"/>
        <v>1.6039175257732</v>
      </c>
      <c r="AA167" s="282">
        <f ca="1" t="shared" si="20"/>
        <v>23.9860895833333</v>
      </c>
      <c r="AB167" s="282">
        <f ca="1" t="shared" si="21"/>
        <v>4.63854166666667</v>
      </c>
      <c r="AC167" s="282">
        <f ca="1" t="shared" si="22"/>
        <v>1.0479</v>
      </c>
      <c r="AD167" s="282">
        <f ca="1" t="shared" si="23"/>
        <v>0.261975</v>
      </c>
      <c r="AE167" s="282">
        <f ca="1" t="shared" si="24"/>
        <v>0.06549375</v>
      </c>
      <c r="AF167" s="19" t="str">
        <f t="shared" si="25"/>
        <v>红1</v>
      </c>
      <c r="AG167" s="19">
        <f>IFERROR(_xlfn.XLOOKUP(C167+1,[2]基因升级!$E$141:$E$500,[2]基因升级!$D$141:$D$500)-1,AG166)</f>
        <v>57</v>
      </c>
      <c r="AH167" s="19">
        <v>4</v>
      </c>
      <c r="AI167" s="19">
        <f t="shared" si="26"/>
        <v>5.99280531394426</v>
      </c>
      <c r="AJ167" s="19">
        <f t="shared" si="37"/>
        <v>0</v>
      </c>
      <c r="AK167" s="269">
        <v>1.5</v>
      </c>
      <c r="AQ167" s="19">
        <f t="shared" si="27"/>
        <v>1</v>
      </c>
      <c r="AR167" s="19">
        <f t="shared" si="28"/>
        <v>1</v>
      </c>
      <c r="AS167" s="19">
        <f t="shared" si="29"/>
        <v>1</v>
      </c>
      <c r="AT167" s="19">
        <f t="shared" si="30"/>
        <v>1</v>
      </c>
      <c r="AU167" s="19">
        <f t="shared" si="31"/>
        <v>1</v>
      </c>
    </row>
    <row r="168" spans="1:47">
      <c r="A168" s="279">
        <f ca="1">SUM($N$125:N168)</f>
        <v>14.5167993837818</v>
      </c>
      <c r="C168" s="19">
        <v>45</v>
      </c>
      <c r="D168" s="86">
        <f ca="1" t="shared" si="38"/>
        <v>86.4287323826508</v>
      </c>
      <c r="E168" s="251">
        <f ca="1" t="shared" si="15"/>
        <v>0.621300934818843</v>
      </c>
      <c r="F168" s="269">
        <f ca="1" t="shared" si="32"/>
        <v>96.2553073337537</v>
      </c>
      <c r="G168" s="283">
        <f ca="1" t="shared" si="43"/>
        <v>59.8035124277362</v>
      </c>
      <c r="H168" s="279">
        <f ca="1" t="shared" si="33"/>
        <v>0.467530388579803</v>
      </c>
      <c r="I168" s="269">
        <f ca="1">SUM($J$125:J168)/SUM($H$125:H168)</f>
        <v>0.70851856272496</v>
      </c>
      <c r="J168" s="284">
        <f t="shared" si="39"/>
        <v>0.334575280674272</v>
      </c>
      <c r="K168" s="19">
        <f t="shared" si="44"/>
        <v>5400</v>
      </c>
      <c r="L168" s="269">
        <f t="shared" si="34"/>
        <v>1.27</v>
      </c>
      <c r="M168" s="226">
        <f ca="1" t="shared" si="35"/>
        <v>3.685</v>
      </c>
      <c r="N168" s="280">
        <f ca="1" t="shared" si="40"/>
        <v>0.132955107905524</v>
      </c>
      <c r="O168" s="226">
        <f t="shared" si="48"/>
        <v>1.65</v>
      </c>
      <c r="P168" s="19">
        <f ca="1" t="shared" si="46"/>
        <v>13.3333333333333</v>
      </c>
      <c r="Q168" s="226">
        <f ca="1" t="shared" si="47"/>
        <v>2.23333333333333</v>
      </c>
      <c r="R168" s="269">
        <f ca="1" t="shared" si="16"/>
        <v>0.283709765632358</v>
      </c>
      <c r="S168" s="266">
        <f ca="1" t="shared" si="17"/>
        <v>26.6530812273701</v>
      </c>
      <c r="T168" s="226">
        <f ca="1">(1+OFFSET('玩法产出(新)'!$C$18,MATCH(X168,'玩法产出(新)'!$B$19:$B$25,0),1)*(1-V168)+OFFSET('玩法产出(新)'!$C$18,1+MATCH(X168,'玩法产出(新)'!$B$19:$B$25,0),1)*(V168))^AA168*(1+OFFSET('玩法产出(新)'!$C$18,MATCH(X168,'玩法产出(新)'!$B$19:$B$25,0),3)*(1-V168)+OFFSET('玩法产出(新)'!$C$18,1+MATCH(X168,'玩法产出(新)'!$B$19:$B$25,0),3)*(V168))^AB168*(1+OFFSET('玩法产出(新)'!$C$18,MATCH(X168,'玩法产出(新)'!$B$19:$B$25,0),4)*(1-V168)+OFFSET('玩法产出(新)'!$C$18,1+MATCH(X168,'玩法产出(新)'!$B$19:$B$25,0),4)*(V168))^AC168*(1+OFFSET('玩法产出(新)'!$C$18,MATCH(X168,'玩法产出(新)'!$B$19:$B$25,0),5)*(1+V168)+OFFSET('玩法产出(新)'!$C$18,1+MATCH(X168,'玩法产出(新)'!$B$19:$B$25,5),1)*(V168))^AD168*(1+OFFSET('玩法产出(新)'!$C$18,MATCH(X168,'玩法产出(新)'!$B$19:$B$25,0),6)*(1+V168)+OFFSET('玩法产出(新)'!$C$18,1+MATCH(X168,'玩法产出(新)'!$B$19:$B$25,0),6)*(V168))^AE168</f>
        <v>6.06971379674954</v>
      </c>
      <c r="U168" s="226">
        <f ca="1" t="shared" si="36"/>
        <v>0.153770546239047</v>
      </c>
      <c r="V168" s="226">
        <f ca="1">COUNTIF($X$124:$X168,X168)/(COUNTIF($X$124:$X$723,X168)+1)</f>
        <v>0.257731958762887</v>
      </c>
      <c r="W168" s="19">
        <v>30</v>
      </c>
      <c r="X168" s="19" t="str">
        <f ca="1" t="shared" si="18"/>
        <v>紫</v>
      </c>
      <c r="Y168" s="19">
        <f t="shared" si="45"/>
        <v>5660</v>
      </c>
      <c r="Z168" s="19">
        <f ca="1" t="shared" si="19"/>
        <v>1.60824742268041</v>
      </c>
      <c r="AA168" s="282">
        <f ca="1" t="shared" si="20"/>
        <v>23.886328125</v>
      </c>
      <c r="AB168" s="282">
        <f ca="1" t="shared" si="21"/>
        <v>4.7109375</v>
      </c>
      <c r="AC168" s="282">
        <f ca="1" t="shared" si="22"/>
        <v>1.06875</v>
      </c>
      <c r="AD168" s="282">
        <f ca="1" t="shared" si="23"/>
        <v>0.2671875</v>
      </c>
      <c r="AE168" s="282">
        <f ca="1" t="shared" si="24"/>
        <v>0.066796875</v>
      </c>
      <c r="AF168" s="19" t="str">
        <f t="shared" si="25"/>
        <v>红1</v>
      </c>
      <c r="AG168" s="19">
        <f>IFERROR(_xlfn.XLOOKUP(C168+1,[2]基因升级!$E$141:$E$500,[2]基因升级!$D$141:$D$500)-1,AG167)</f>
        <v>58</v>
      </c>
      <c r="AH168" s="19">
        <v>4</v>
      </c>
      <c r="AI168" s="19">
        <f t="shared" si="26"/>
        <v>5.99280531394426</v>
      </c>
      <c r="AJ168" s="19">
        <f t="shared" si="37"/>
        <v>0</v>
      </c>
      <c r="AK168" s="269">
        <v>1.5</v>
      </c>
      <c r="AQ168" s="19">
        <f t="shared" si="27"/>
        <v>1</v>
      </c>
      <c r="AR168" s="19">
        <f t="shared" si="28"/>
        <v>1</v>
      </c>
      <c r="AS168" s="19">
        <f t="shared" si="29"/>
        <v>1</v>
      </c>
      <c r="AT168" s="19">
        <f t="shared" si="30"/>
        <v>1</v>
      </c>
      <c r="AU168" s="19">
        <f t="shared" si="31"/>
        <v>1</v>
      </c>
    </row>
    <row r="169" spans="1:47">
      <c r="A169" s="279">
        <f ca="1">SUM($N$125:N169)</f>
        <v>14.6485691406282</v>
      </c>
      <c r="C169" s="19">
        <v>46</v>
      </c>
      <c r="D169" s="86">
        <f ca="1" t="shared" si="38"/>
        <v>87.0448440802377</v>
      </c>
      <c r="E169" s="251">
        <f ca="1" t="shared" si="15"/>
        <v>0.616111697586951</v>
      </c>
      <c r="F169" s="269">
        <f ca="1" t="shared" si="32"/>
        <v>97.8143397134436</v>
      </c>
      <c r="G169" s="283">
        <f ca="1" t="shared" si="43"/>
        <v>60.2645588891965</v>
      </c>
      <c r="H169" s="279">
        <f ca="1" t="shared" si="33"/>
        <v>0.461046461460292</v>
      </c>
      <c r="I169" s="269">
        <f ca="1">SUM($J$125:J169)/SUM($H$125:H169)</f>
        <v>0.708570621838745</v>
      </c>
      <c r="J169" s="284">
        <f t="shared" si="39"/>
        <v>0.329276704613875</v>
      </c>
      <c r="K169" s="19">
        <f t="shared" si="44"/>
        <v>5500</v>
      </c>
      <c r="L169" s="269">
        <f t="shared" si="34"/>
        <v>1.275</v>
      </c>
      <c r="M169" s="226">
        <f ca="1" t="shared" si="35"/>
        <v>3.718</v>
      </c>
      <c r="N169" s="280">
        <f ca="1" t="shared" si="40"/>
        <v>0.131769756846422</v>
      </c>
      <c r="O169" s="226">
        <f t="shared" si="48"/>
        <v>1.65</v>
      </c>
      <c r="P169" s="19">
        <f ca="1" t="shared" si="46"/>
        <v>13.5333333333333</v>
      </c>
      <c r="Q169" s="226">
        <f ca="1" t="shared" si="47"/>
        <v>2.25333333333333</v>
      </c>
      <c r="R169" s="269">
        <f ca="1" t="shared" si="16"/>
        <v>0.285360363603524</v>
      </c>
      <c r="S169" s="266">
        <f ca="1" t="shared" si="17"/>
        <v>26.8081464634967</v>
      </c>
      <c r="T169" s="226">
        <f ca="1">(1+OFFSET('玩法产出(新)'!$C$18,MATCH(X169,'玩法产出(新)'!$B$19:$B$25,0),1)*(1-V169)+OFFSET('玩法产出(新)'!$C$18,1+MATCH(X169,'玩法产出(新)'!$B$19:$B$25,0),1)*(V169))^AA169*(1+OFFSET('玩法产出(新)'!$C$18,MATCH(X169,'玩法产出(新)'!$B$19:$B$25,0),3)*(1-V169)+OFFSET('玩法产出(新)'!$C$18,1+MATCH(X169,'玩法产出(新)'!$B$19:$B$25,0),3)*(V169))^AB169*(1+OFFSET('玩法产出(新)'!$C$18,MATCH(X169,'玩法产出(新)'!$B$19:$B$25,0),4)*(1-V169)+OFFSET('玩法产出(新)'!$C$18,1+MATCH(X169,'玩法产出(新)'!$B$19:$B$25,0),4)*(V169))^AC169*(1+OFFSET('玩法产出(新)'!$C$18,MATCH(X169,'玩法产出(新)'!$B$19:$B$25,0),5)*(1+V169)+OFFSET('玩法产出(新)'!$C$18,1+MATCH(X169,'玩法产出(新)'!$B$19:$B$25,5),1)*(V169))^AD169*(1+OFFSET('玩法产出(新)'!$C$18,MATCH(X169,'玩法产出(新)'!$B$19:$B$25,0),6)*(1+V169)+OFFSET('玩法产出(新)'!$C$18,1+MATCH(X169,'玩法产出(新)'!$B$19:$B$25,0),6)*(V169))^AE169</f>
        <v>6.1337294482076</v>
      </c>
      <c r="U169" s="226">
        <f ca="1" t="shared" si="36"/>
        <v>0.155065236126654</v>
      </c>
      <c r="V169" s="226">
        <f ca="1">COUNTIF($X$124:$X169,X169)/(COUNTIF($X$124:$X$723,X169)+1)</f>
        <v>0.268041237113402</v>
      </c>
      <c r="W169" s="19">
        <v>30</v>
      </c>
      <c r="X169" s="19" t="str">
        <f ca="1" t="shared" si="18"/>
        <v>紫</v>
      </c>
      <c r="Y169" s="19">
        <f t="shared" si="45"/>
        <v>5760</v>
      </c>
      <c r="Z169" s="19">
        <f ca="1" t="shared" si="19"/>
        <v>1.61257731958763</v>
      </c>
      <c r="AA169" s="282">
        <f ca="1" t="shared" si="20"/>
        <v>23.7865666666667</v>
      </c>
      <c r="AB169" s="282">
        <f ca="1" t="shared" si="21"/>
        <v>4.78333333333333</v>
      </c>
      <c r="AC169" s="282">
        <f ca="1" t="shared" si="22"/>
        <v>1.0896</v>
      </c>
      <c r="AD169" s="282">
        <f ca="1" t="shared" si="23"/>
        <v>0.2724</v>
      </c>
      <c r="AE169" s="282">
        <f ca="1" t="shared" si="24"/>
        <v>0.0681</v>
      </c>
      <c r="AF169" s="19" t="str">
        <f t="shared" si="25"/>
        <v>红1</v>
      </c>
      <c r="AG169" s="19">
        <f>IFERROR(_xlfn.XLOOKUP(C169+1,[2]基因升级!$E$141:$E$500,[2]基因升级!$D$141:$D$500)-1,AG168)</f>
        <v>58</v>
      </c>
      <c r="AH169" s="19">
        <v>4</v>
      </c>
      <c r="AI169" s="19">
        <f t="shared" si="26"/>
        <v>5.99280531394426</v>
      </c>
      <c r="AJ169" s="19">
        <f t="shared" si="37"/>
        <v>0</v>
      </c>
      <c r="AK169" s="269">
        <v>1.5</v>
      </c>
      <c r="AQ169" s="19">
        <f t="shared" si="27"/>
        <v>1</v>
      </c>
      <c r="AR169" s="19">
        <f t="shared" si="28"/>
        <v>1</v>
      </c>
      <c r="AS169" s="19">
        <f t="shared" si="29"/>
        <v>1</v>
      </c>
      <c r="AT169" s="19">
        <f t="shared" si="30"/>
        <v>1</v>
      </c>
      <c r="AU169" s="19">
        <f t="shared" si="31"/>
        <v>1</v>
      </c>
    </row>
    <row r="170" spans="1:47">
      <c r="A170" s="279">
        <f ca="1">SUM($N$125:N170)</f>
        <v>14.7791744955951</v>
      </c>
      <c r="C170" s="19">
        <v>47</v>
      </c>
      <c r="D170" s="86">
        <f ca="1" t="shared" si="38"/>
        <v>87.655969216818</v>
      </c>
      <c r="E170" s="251">
        <f ca="1" t="shared" si="15"/>
        <v>0.611125136580274</v>
      </c>
      <c r="F170" s="269">
        <f ca="1" t="shared" si="32"/>
        <v>99.3566181959947</v>
      </c>
      <c r="G170" s="283">
        <f ca="1" t="shared" si="43"/>
        <v>60.7193268651814</v>
      </c>
      <c r="H170" s="279">
        <f ca="1" t="shared" si="33"/>
        <v>0.454767975984929</v>
      </c>
      <c r="I170" s="269">
        <f ca="1">SUM($J$125:J170)/SUM($H$125:H170)</f>
        <v>0.708608623003217</v>
      </c>
      <c r="J170" s="284">
        <f t="shared" si="39"/>
        <v>0.324162621018104</v>
      </c>
      <c r="K170" s="19">
        <f t="shared" si="44"/>
        <v>5600</v>
      </c>
      <c r="L170" s="269">
        <f t="shared" si="34"/>
        <v>1.28</v>
      </c>
      <c r="M170" s="226">
        <f ca="1" t="shared" si="35"/>
        <v>3.751</v>
      </c>
      <c r="N170" s="280">
        <f ca="1" t="shared" si="40"/>
        <v>0.130605354966823</v>
      </c>
      <c r="O170" s="226">
        <f t="shared" si="48"/>
        <v>1.65</v>
      </c>
      <c r="P170" s="19">
        <f ca="1" t="shared" si="46"/>
        <v>13.7333333333333</v>
      </c>
      <c r="Q170" s="226">
        <f ca="1" t="shared" si="47"/>
        <v>2.27333333333333</v>
      </c>
      <c r="R170" s="269">
        <f ca="1" t="shared" si="16"/>
        <v>0.287024713515229</v>
      </c>
      <c r="S170" s="266">
        <f ca="1" t="shared" si="17"/>
        <v>26.9645036240921</v>
      </c>
      <c r="T170" s="226">
        <f ca="1">(1+OFFSET('玩法产出(新)'!$C$18,MATCH(X170,'玩法产出(新)'!$B$19:$B$25,0),1)*(1-V170)+OFFSET('玩法产出(新)'!$C$18,1+MATCH(X170,'玩法产出(新)'!$B$19:$B$25,0),1)*(V170))^AA170*(1+OFFSET('玩法产出(新)'!$C$18,MATCH(X170,'玩法产出(新)'!$B$19:$B$25,0),3)*(1-V170)+OFFSET('玩法产出(新)'!$C$18,1+MATCH(X170,'玩法产出(新)'!$B$19:$B$25,0),3)*(V170))^AB170*(1+OFFSET('玩法产出(新)'!$C$18,MATCH(X170,'玩法产出(新)'!$B$19:$B$25,0),4)*(1-V170)+OFFSET('玩法产出(新)'!$C$18,1+MATCH(X170,'玩法产出(新)'!$B$19:$B$25,0),4)*(V170))^AC170*(1+OFFSET('玩法产出(新)'!$C$18,MATCH(X170,'玩法产出(新)'!$B$19:$B$25,0),5)*(1+V170)+OFFSET('玩法产出(新)'!$C$18,1+MATCH(X170,'玩法产出(新)'!$B$19:$B$25,5),1)*(V170))^AD170*(1+OFFSET('玩法产出(新)'!$C$18,MATCH(X170,'玩法产出(新)'!$B$19:$B$25,0),6)*(1+V170)+OFFSET('玩法产出(新)'!$C$18,1+MATCH(X170,'玩法产出(新)'!$B$19:$B$25,0),6)*(V170))^AE170</f>
        <v>6.19896208240485</v>
      </c>
      <c r="U170" s="226">
        <f ca="1" t="shared" si="36"/>
        <v>0.156357160595347</v>
      </c>
      <c r="V170" s="226">
        <f ca="1">COUNTIF($X$124:$X170,X170)/(COUNTIF($X$124:$X$723,X170)+1)</f>
        <v>0.278350515463918</v>
      </c>
      <c r="W170" s="19">
        <v>30</v>
      </c>
      <c r="X170" s="19" t="str">
        <f ca="1" t="shared" si="18"/>
        <v>紫</v>
      </c>
      <c r="Y170" s="19">
        <f t="shared" si="45"/>
        <v>5860</v>
      </c>
      <c r="Z170" s="19">
        <f ca="1" t="shared" si="19"/>
        <v>1.61690721649485</v>
      </c>
      <c r="AA170" s="282">
        <f ca="1" t="shared" si="20"/>
        <v>23.6868052083333</v>
      </c>
      <c r="AB170" s="282">
        <f ca="1" t="shared" si="21"/>
        <v>4.85572916666667</v>
      </c>
      <c r="AC170" s="282">
        <f ca="1" t="shared" si="22"/>
        <v>1.11045</v>
      </c>
      <c r="AD170" s="282">
        <f ca="1" t="shared" si="23"/>
        <v>0.2776125</v>
      </c>
      <c r="AE170" s="282">
        <f ca="1" t="shared" si="24"/>
        <v>0.069403125</v>
      </c>
      <c r="AF170" s="19" t="str">
        <f t="shared" si="25"/>
        <v>红1</v>
      </c>
      <c r="AG170" s="19">
        <f>IFERROR(_xlfn.XLOOKUP(C170+1,[2]基因升级!$E$141:$E$500,[2]基因升级!$D$141:$D$500)-1,AG169)</f>
        <v>58</v>
      </c>
      <c r="AH170" s="19">
        <v>4</v>
      </c>
      <c r="AI170" s="19">
        <f t="shared" si="26"/>
        <v>5.99280531394426</v>
      </c>
      <c r="AJ170" s="19">
        <f t="shared" si="37"/>
        <v>0</v>
      </c>
      <c r="AK170" s="269">
        <v>1.5</v>
      </c>
      <c r="AQ170" s="19">
        <f t="shared" si="27"/>
        <v>1</v>
      </c>
      <c r="AR170" s="19">
        <f t="shared" si="28"/>
        <v>1</v>
      </c>
      <c r="AS170" s="19">
        <f t="shared" si="29"/>
        <v>1</v>
      </c>
      <c r="AT170" s="19">
        <f t="shared" si="30"/>
        <v>1</v>
      </c>
      <c r="AU170" s="19">
        <f t="shared" si="31"/>
        <v>1</v>
      </c>
    </row>
    <row r="171" spans="1:47">
      <c r="A171" s="279">
        <f ca="1">SUM($N$125:N171)</f>
        <v>14.9086358473581</v>
      </c>
      <c r="C171" s="19">
        <v>48</v>
      </c>
      <c r="D171" s="86">
        <f ca="1" t="shared" si="38"/>
        <v>88.2623002070722</v>
      </c>
      <c r="E171" s="251">
        <f ca="1" t="shared" si="15"/>
        <v>0.606330990254212</v>
      </c>
      <c r="F171" s="269">
        <f ca="1" t="shared" si="32"/>
        <v>100.8822120379</v>
      </c>
      <c r="G171" s="283">
        <f ca="1" t="shared" si="43"/>
        <v>61.1680115239755</v>
      </c>
      <c r="H171" s="279">
        <f ca="1" t="shared" si="33"/>
        <v>0.448684658794051</v>
      </c>
      <c r="I171" s="269">
        <f ca="1">SUM($J$125:J171)/SUM($H$125:H171)</f>
        <v>0.708633667728664</v>
      </c>
      <c r="J171" s="284">
        <f t="shared" si="39"/>
        <v>0.319223307030995</v>
      </c>
      <c r="K171" s="19">
        <f t="shared" si="44"/>
        <v>5700</v>
      </c>
      <c r="L171" s="269">
        <f t="shared" si="34"/>
        <v>1.285</v>
      </c>
      <c r="M171" s="226">
        <f ca="1" t="shared" si="35"/>
        <v>3.784</v>
      </c>
      <c r="N171" s="280">
        <f ca="1" t="shared" si="40"/>
        <v>0.129461351763057</v>
      </c>
      <c r="O171" s="226">
        <f t="shared" si="48"/>
        <v>1.65</v>
      </c>
      <c r="P171" s="19">
        <f ca="1" t="shared" si="46"/>
        <v>13.9333333333333</v>
      </c>
      <c r="Q171" s="226">
        <f ca="1" t="shared" si="47"/>
        <v>2.29333333333333</v>
      </c>
      <c r="R171" s="269">
        <f ca="1" t="shared" si="16"/>
        <v>0.288702786056629</v>
      </c>
      <c r="S171" s="266">
        <f ca="1" t="shared" si="17"/>
        <v>27.1221499555522</v>
      </c>
      <c r="T171" s="226">
        <f ca="1">(1+OFFSET('玩法产出(新)'!$C$18,MATCH(X171,'玩法产出(新)'!$B$19:$B$25,0),1)*(1-V171)+OFFSET('玩法产出(新)'!$C$18,1+MATCH(X171,'玩法产出(新)'!$B$19:$B$25,0),1)*(V171))^AA171*(1+OFFSET('玩法产出(新)'!$C$18,MATCH(X171,'玩法产出(新)'!$B$19:$B$25,0),3)*(1-V171)+OFFSET('玩法产出(新)'!$C$18,1+MATCH(X171,'玩法产出(新)'!$B$19:$B$25,0),3)*(V171))^AB171*(1+OFFSET('玩法产出(新)'!$C$18,MATCH(X171,'玩法产出(新)'!$B$19:$B$25,0),4)*(1-V171)+OFFSET('玩法产出(新)'!$C$18,1+MATCH(X171,'玩法产出(新)'!$B$19:$B$25,0),4)*(V171))^AC171*(1+OFFSET('玩法产出(新)'!$C$18,MATCH(X171,'玩法产出(新)'!$B$19:$B$25,0),5)*(1+V171)+OFFSET('玩法产出(新)'!$C$18,1+MATCH(X171,'玩法产出(新)'!$B$19:$B$25,5),1)*(V171))^AD171*(1+OFFSET('玩法产出(新)'!$C$18,MATCH(X171,'玩法产出(新)'!$B$19:$B$25,0),6)*(1+V171)+OFFSET('玩法产出(新)'!$C$18,1+MATCH(X171,'玩法产出(新)'!$B$19:$B$25,0),6)*(V171))^AE171</f>
        <v>6.26543493984693</v>
      </c>
      <c r="U171" s="226">
        <f ca="1" t="shared" si="36"/>
        <v>0.15764633146016</v>
      </c>
      <c r="V171" s="226">
        <f ca="1">COUNTIF($X$124:$X171,X171)/(COUNTIF($X$124:$X$723,X171)+1)</f>
        <v>0.288659793814433</v>
      </c>
      <c r="W171" s="19">
        <v>30</v>
      </c>
      <c r="X171" s="19" t="str">
        <f ca="1" t="shared" si="18"/>
        <v>紫</v>
      </c>
      <c r="Y171" s="19">
        <f t="shared" si="45"/>
        <v>5960</v>
      </c>
      <c r="Z171" s="19">
        <f ca="1" t="shared" si="19"/>
        <v>1.62123711340206</v>
      </c>
      <c r="AA171" s="282">
        <f ca="1" t="shared" si="20"/>
        <v>23.58704375</v>
      </c>
      <c r="AB171" s="282">
        <f ca="1" t="shared" si="21"/>
        <v>4.928125</v>
      </c>
      <c r="AC171" s="282">
        <f ca="1" t="shared" si="22"/>
        <v>1.1313</v>
      </c>
      <c r="AD171" s="282">
        <f ca="1" t="shared" si="23"/>
        <v>0.282825</v>
      </c>
      <c r="AE171" s="282">
        <f ca="1" t="shared" si="24"/>
        <v>0.07070625</v>
      </c>
      <c r="AF171" s="19" t="str">
        <f t="shared" si="25"/>
        <v>红1</v>
      </c>
      <c r="AG171" s="19">
        <f>IFERROR(_xlfn.XLOOKUP(C171+1,[2]基因升级!$E$141:$E$500,[2]基因升级!$D$141:$D$500)-1,AG170)</f>
        <v>59</v>
      </c>
      <c r="AH171" s="19">
        <v>4</v>
      </c>
      <c r="AI171" s="19">
        <f t="shared" si="26"/>
        <v>5.99280531394426</v>
      </c>
      <c r="AJ171" s="19">
        <f t="shared" si="37"/>
        <v>0</v>
      </c>
      <c r="AK171" s="269">
        <v>1.5</v>
      </c>
      <c r="AQ171" s="19">
        <f t="shared" si="27"/>
        <v>1</v>
      </c>
      <c r="AR171" s="19">
        <f t="shared" si="28"/>
        <v>1</v>
      </c>
      <c r="AS171" s="19">
        <f t="shared" si="29"/>
        <v>1</v>
      </c>
      <c r="AT171" s="19">
        <f t="shared" si="30"/>
        <v>1</v>
      </c>
      <c r="AU171" s="19">
        <f t="shared" si="31"/>
        <v>1</v>
      </c>
    </row>
    <row r="172" spans="1:47">
      <c r="A172" s="279">
        <f ca="1">SUM($N$125:N172)</f>
        <v>15.0369730632104</v>
      </c>
      <c r="C172" s="19">
        <v>49</v>
      </c>
      <c r="D172" s="86">
        <f ca="1" t="shared" si="38"/>
        <v>89.8179041777995</v>
      </c>
      <c r="E172" s="251">
        <f ca="1" t="shared" si="15"/>
        <v>1.5556039707273</v>
      </c>
      <c r="F172" s="269">
        <f ca="1" t="shared" si="32"/>
        <v>39.6057091742615</v>
      </c>
      <c r="G172" s="283">
        <f ca="1" t="shared" si="43"/>
        <v>61.6107984549517</v>
      </c>
      <c r="H172" s="279">
        <f ca="1" t="shared" si="33"/>
        <v>0.442786930976219</v>
      </c>
      <c r="I172" s="269">
        <f ca="1">SUM($J$125:J172)/SUM($H$125:H172)</f>
        <v>0.708646765534245</v>
      </c>
      <c r="J172" s="284">
        <f t="shared" si="39"/>
        <v>0.314449715124013</v>
      </c>
      <c r="K172" s="19">
        <f t="shared" si="44"/>
        <v>5800</v>
      </c>
      <c r="L172" s="269">
        <f t="shared" si="34"/>
        <v>1.28999999999999</v>
      </c>
      <c r="M172" s="226">
        <f ca="1" t="shared" si="35"/>
        <v>3.817</v>
      </c>
      <c r="N172" s="280">
        <f ca="1" t="shared" si="40"/>
        <v>0.128337215852328</v>
      </c>
      <c r="O172" s="226">
        <f t="shared" si="48"/>
        <v>1.65</v>
      </c>
      <c r="P172" s="19">
        <f ca="1" t="shared" si="46"/>
        <v>14.1333333333333</v>
      </c>
      <c r="Q172" s="226">
        <f ca="1" t="shared" si="47"/>
        <v>2.31333333333333</v>
      </c>
      <c r="R172" s="269">
        <f ca="1" t="shared" si="16"/>
        <v>0.290394552041784</v>
      </c>
      <c r="S172" s="266">
        <f ca="1" t="shared" si="17"/>
        <v>27.2810827160074</v>
      </c>
      <c r="T172" s="226">
        <f ca="1">(1+OFFSET('玩法产出(新)'!$C$18,MATCH(X172,'玩法产出(新)'!$B$19:$B$25,0),1)*(1-V172)+OFFSET('玩法产出(新)'!$C$18,1+MATCH(X172,'玩法产出(新)'!$B$19:$B$25,0),1)*(V172))^AA172*(1+OFFSET('玩法产出(新)'!$C$18,MATCH(X172,'玩法产出(新)'!$B$19:$B$25,0),3)*(1-V172)+OFFSET('玩法产出(新)'!$C$18,1+MATCH(X172,'玩法产出(新)'!$B$19:$B$25,0),3)*(V172))^AB172*(1+OFFSET('玩法产出(新)'!$C$18,MATCH(X172,'玩法产出(新)'!$B$19:$B$25,0),4)*(1-V172)+OFFSET('玩法产出(新)'!$C$18,1+MATCH(X172,'玩法产出(新)'!$B$19:$B$25,0),4)*(V172))^AC172*(1+OFFSET('玩法产出(新)'!$C$18,MATCH(X172,'玩法产出(新)'!$B$19:$B$25,0),5)*(1+V172)+OFFSET('玩法产出(新)'!$C$18,1+MATCH(X172,'玩法产出(新)'!$B$19:$B$25,5),1)*(V172))^AD172*(1+OFFSET('玩法产出(新)'!$C$18,MATCH(X172,'玩法产出(新)'!$B$19:$B$25,0),6)*(1+V172)+OFFSET('玩法产出(新)'!$C$18,1+MATCH(X172,'玩法产出(新)'!$B$19:$B$25,0),6)*(V172))^AE172</f>
        <v>6.33317180353077</v>
      </c>
      <c r="U172" s="226">
        <f ca="1" t="shared" si="36"/>
        <v>0.15893276045518</v>
      </c>
      <c r="V172" s="226">
        <f ca="1">COUNTIF($X$124:$X172,X172)/(COUNTIF($X$124:$X$723,X172)+1)</f>
        <v>0.298969072164948</v>
      </c>
      <c r="W172" s="19">
        <v>30</v>
      </c>
      <c r="X172" s="19" t="str">
        <f ca="1" t="shared" si="18"/>
        <v>紫</v>
      </c>
      <c r="Y172" s="19">
        <f t="shared" si="45"/>
        <v>6060</v>
      </c>
      <c r="Z172" s="19">
        <f ca="1" t="shared" si="19"/>
        <v>1.62556701030928</v>
      </c>
      <c r="AA172" s="282">
        <f ca="1" t="shared" si="20"/>
        <v>23.4872822916667</v>
      </c>
      <c r="AB172" s="282">
        <f ca="1" t="shared" si="21"/>
        <v>5.00052083333333</v>
      </c>
      <c r="AC172" s="282">
        <f ca="1" t="shared" si="22"/>
        <v>1.15215</v>
      </c>
      <c r="AD172" s="282">
        <f ca="1" t="shared" si="23"/>
        <v>0.2880375</v>
      </c>
      <c r="AE172" s="282">
        <f ca="1" t="shared" si="24"/>
        <v>0.072009375</v>
      </c>
      <c r="AF172" s="19" t="str">
        <f t="shared" si="25"/>
        <v>红1</v>
      </c>
      <c r="AG172" s="19">
        <f>IFERROR(_xlfn.XLOOKUP(C172+1,[2]基因升级!$E$141:$E$500,[2]基因升级!$D$141:$D$500)-1,AG171)</f>
        <v>59</v>
      </c>
      <c r="AH172" s="19">
        <v>5</v>
      </c>
      <c r="AI172" s="19">
        <f t="shared" si="26"/>
        <v>6.94668959324004</v>
      </c>
      <c r="AJ172" s="19">
        <f t="shared" si="37"/>
        <v>0.953884279295776</v>
      </c>
      <c r="AK172" s="269">
        <v>1.6</v>
      </c>
      <c r="AQ172" s="19">
        <f t="shared" si="27"/>
        <v>1</v>
      </c>
      <c r="AR172" s="19">
        <f t="shared" si="28"/>
        <v>1</v>
      </c>
      <c r="AS172" s="19">
        <f t="shared" si="29"/>
        <v>1</v>
      </c>
      <c r="AT172" s="19">
        <f t="shared" si="30"/>
        <v>1</v>
      </c>
      <c r="AU172" s="19">
        <f t="shared" si="31"/>
        <v>1</v>
      </c>
    </row>
    <row r="173" spans="1:47">
      <c r="A173" s="279">
        <f ca="1">SUM($N$125:N173)</f>
        <v>15.1642054973601</v>
      </c>
      <c r="C173" s="19">
        <v>50</v>
      </c>
      <c r="D173" s="86">
        <f ca="1" t="shared" si="38"/>
        <v>90.4151864865723</v>
      </c>
      <c r="E173" s="251">
        <f ca="1" t="shared" si="15"/>
        <v>0.597282308772751</v>
      </c>
      <c r="F173" s="269">
        <f ca="1" t="shared" si="32"/>
        <v>103.883646632664</v>
      </c>
      <c r="G173" s="283">
        <f ca="1" t="shared" si="43"/>
        <v>62.04786430449</v>
      </c>
      <c r="H173" s="279">
        <f ca="1" t="shared" si="33"/>
        <v>0.4370658495383</v>
      </c>
      <c r="I173" s="269">
        <f ca="1">SUM($J$125:J173)/SUM($H$125:H173)</f>
        <v>0.708648842752768</v>
      </c>
      <c r="J173" s="284">
        <f t="shared" si="39"/>
        <v>0.309833415388624</v>
      </c>
      <c r="K173" s="19">
        <f t="shared" si="44"/>
        <v>5900</v>
      </c>
      <c r="L173" s="269">
        <f t="shared" si="34"/>
        <v>1.29499999999999</v>
      </c>
      <c r="M173" s="226">
        <f ca="1" t="shared" si="35"/>
        <v>3.85</v>
      </c>
      <c r="N173" s="280">
        <f ca="1" t="shared" si="40"/>
        <v>0.12723243414967</v>
      </c>
      <c r="O173" s="226">
        <f t="shared" si="48"/>
        <v>1.65</v>
      </c>
      <c r="P173" s="19">
        <f ca="1" t="shared" si="46"/>
        <v>14.3333333333333</v>
      </c>
      <c r="Q173" s="226">
        <f ca="1" t="shared" si="47"/>
        <v>2.33333333333333</v>
      </c>
      <c r="R173" s="269">
        <f ca="1" t="shared" si="16"/>
        <v>0.292099982408806</v>
      </c>
      <c r="S173" s="266">
        <f ca="1" t="shared" si="17"/>
        <v>27.4412991752419</v>
      </c>
      <c r="T173" s="226">
        <f ca="1">(1+OFFSET('玩法产出(新)'!$C$18,MATCH(X173,'玩法产出(新)'!$B$19:$B$25,0),1)*(1-V173)+OFFSET('玩法产出(新)'!$C$18,1+MATCH(X173,'玩法产出(新)'!$B$19:$B$25,0),1)*(V173))^AA173*(1+OFFSET('玩法产出(新)'!$C$18,MATCH(X173,'玩法产出(新)'!$B$19:$B$25,0),3)*(1-V173)+OFFSET('玩法产出(新)'!$C$18,1+MATCH(X173,'玩法产出(新)'!$B$19:$B$25,0),3)*(V173))^AB173*(1+OFFSET('玩法产出(新)'!$C$18,MATCH(X173,'玩法产出(新)'!$B$19:$B$25,0),4)*(1-V173)+OFFSET('玩法产出(新)'!$C$18,1+MATCH(X173,'玩法产出(新)'!$B$19:$B$25,0),4)*(V173))^AC173*(1+OFFSET('玩法产出(新)'!$C$18,MATCH(X173,'玩法产出(新)'!$B$19:$B$25,0),5)*(1+V173)+OFFSET('玩法产出(新)'!$C$18,1+MATCH(X173,'玩法产出(新)'!$B$19:$B$25,5),1)*(V173))^AD173*(1+OFFSET('玩法产出(新)'!$C$18,MATCH(X173,'玩法产出(新)'!$B$19:$B$25,0),6)*(1+V173)+OFFSET('玩法产出(新)'!$C$18,1+MATCH(X173,'玩法产出(新)'!$B$19:$B$25,0),6)*(V173))^AE173</f>
        <v>6.40219701187209</v>
      </c>
      <c r="U173" s="226">
        <f ca="1" t="shared" si="36"/>
        <v>0.160216459234457</v>
      </c>
      <c r="V173" s="226">
        <f ca="1">COUNTIF($X$124:$X173,X173)/(COUNTIF($X$124:$X$723,X173)+1)</f>
        <v>0.309278350515464</v>
      </c>
      <c r="W173" s="19">
        <v>30</v>
      </c>
      <c r="X173" s="19" t="str">
        <f ca="1" t="shared" si="18"/>
        <v>紫</v>
      </c>
      <c r="Y173" s="19">
        <f t="shared" si="45"/>
        <v>6160</v>
      </c>
      <c r="Z173" s="19">
        <f ca="1" t="shared" si="19"/>
        <v>1.62989690721649</v>
      </c>
      <c r="AA173" s="282">
        <f ca="1" t="shared" si="20"/>
        <v>23.3875208333333</v>
      </c>
      <c r="AB173" s="282">
        <f ca="1" t="shared" si="21"/>
        <v>5.07291666666667</v>
      </c>
      <c r="AC173" s="282">
        <f ca="1" t="shared" si="22"/>
        <v>1.173</v>
      </c>
      <c r="AD173" s="282">
        <f ca="1" t="shared" si="23"/>
        <v>0.29325</v>
      </c>
      <c r="AE173" s="282">
        <f ca="1" t="shared" si="24"/>
        <v>0.0733125</v>
      </c>
      <c r="AF173" s="19" t="str">
        <f t="shared" si="25"/>
        <v>红1</v>
      </c>
      <c r="AG173" s="19">
        <f>IFERROR(_xlfn.XLOOKUP(C173+1,[2]基因升级!$E$141:$E$500,[2]基因升级!$D$141:$D$500)-1,AG172)</f>
        <v>59</v>
      </c>
      <c r="AH173" s="19">
        <v>5</v>
      </c>
      <c r="AI173" s="19">
        <f t="shared" si="26"/>
        <v>6.94668959324004</v>
      </c>
      <c r="AJ173" s="19">
        <f t="shared" si="37"/>
        <v>0</v>
      </c>
      <c r="AK173" s="269">
        <v>1.6</v>
      </c>
      <c r="AQ173" s="19">
        <f t="shared" si="27"/>
        <v>1</v>
      </c>
      <c r="AR173" s="19">
        <f t="shared" si="28"/>
        <v>1</v>
      </c>
      <c r="AS173" s="19">
        <f t="shared" si="29"/>
        <v>1</v>
      </c>
      <c r="AT173" s="19">
        <f t="shared" si="30"/>
        <v>1</v>
      </c>
      <c r="AU173" s="19">
        <f t="shared" si="31"/>
        <v>1</v>
      </c>
    </row>
    <row r="174" spans="1:47">
      <c r="A174" s="279">
        <f ca="1">SUM($N$125:N174)</f>
        <v>15.2903520084472</v>
      </c>
      <c r="C174" s="19">
        <v>51</v>
      </c>
      <c r="D174" s="86">
        <f ca="1" t="shared" si="38"/>
        <v>91.0081969806803</v>
      </c>
      <c r="E174" s="251">
        <f ca="1" t="shared" si="15"/>
        <v>0.593010494108086</v>
      </c>
      <c r="F174" s="269">
        <f ca="1" t="shared" si="32"/>
        <v>105.359648741456</v>
      </c>
      <c r="G174" s="283">
        <f ca="1" t="shared" si="43"/>
        <v>62.4793773592254</v>
      </c>
      <c r="H174" s="279">
        <f ca="1" t="shared" si="33"/>
        <v>0.431513054735454</v>
      </c>
      <c r="I174" s="269">
        <f ca="1">SUM($J$125:J174)/SUM($H$125:H174)</f>
        <v>0.708640750369741</v>
      </c>
      <c r="J174" s="284">
        <f t="shared" si="39"/>
        <v>0.305366543648397</v>
      </c>
      <c r="K174" s="19">
        <f t="shared" si="44"/>
        <v>6000</v>
      </c>
      <c r="L174" s="269">
        <f t="shared" si="34"/>
        <v>1.29999999999999</v>
      </c>
      <c r="M174" s="226">
        <f ca="1" t="shared" si="35"/>
        <v>3.883</v>
      </c>
      <c r="N174" s="280">
        <f ca="1" t="shared" si="40"/>
        <v>0.126146511087052</v>
      </c>
      <c r="O174" s="226">
        <f t="shared" si="48"/>
        <v>1.65</v>
      </c>
      <c r="P174" s="19">
        <f ca="1" t="shared" si="46"/>
        <v>14.5333333333333</v>
      </c>
      <c r="Q174" s="226">
        <f ca="1" t="shared" si="47"/>
        <v>2.35333333333333</v>
      </c>
      <c r="R174" s="269">
        <f ca="1" t="shared" si="16"/>
        <v>0.293819048219013</v>
      </c>
      <c r="S174" s="266">
        <f ca="1" t="shared" si="17"/>
        <v>27.6027966146145</v>
      </c>
      <c r="T174" s="226">
        <f ca="1">(1+OFFSET('玩法产出(新)'!$C$18,MATCH(X174,'玩法产出(新)'!$B$19:$B$25,0),1)*(1-V174)+OFFSET('玩法产出(新)'!$C$18,1+MATCH(X174,'玩法产出(新)'!$B$19:$B$25,0),1)*(V174))^AA174*(1+OFFSET('玩法产出(新)'!$C$18,MATCH(X174,'玩法产出(新)'!$B$19:$B$25,0),3)*(1-V174)+OFFSET('玩法产出(新)'!$C$18,1+MATCH(X174,'玩法产出(新)'!$B$19:$B$25,0),3)*(V174))^AB174*(1+OFFSET('玩法产出(新)'!$C$18,MATCH(X174,'玩法产出(新)'!$B$19:$B$25,0),4)*(1-V174)+OFFSET('玩法产出(新)'!$C$18,1+MATCH(X174,'玩法产出(新)'!$B$19:$B$25,0),4)*(V174))^AC174*(1+OFFSET('玩法产出(新)'!$C$18,MATCH(X174,'玩法产出(新)'!$B$19:$B$25,0),5)*(1+V174)+OFFSET('玩法产出(新)'!$C$18,1+MATCH(X174,'玩法产出(新)'!$B$19:$B$25,5),1)*(V174))^AD174*(1+OFFSET('玩法产出(新)'!$C$18,MATCH(X174,'玩法产出(新)'!$B$19:$B$25,0),6)*(1+V174)+OFFSET('玩法产出(新)'!$C$18,1+MATCH(X174,'玩法产出(新)'!$B$19:$B$25,0),6)*(V174))^AE174</f>
        <v>6.47253547197879</v>
      </c>
      <c r="U174" s="226">
        <f ca="1" t="shared" si="36"/>
        <v>0.161497439372637</v>
      </c>
      <c r="V174" s="226">
        <f ca="1">COUNTIF($X$124:$X174,X174)/(COUNTIF($X$124:$X$723,X174)+1)</f>
        <v>0.319587628865979</v>
      </c>
      <c r="W174" s="19">
        <v>30</v>
      </c>
      <c r="X174" s="19" t="str">
        <f ca="1" t="shared" si="18"/>
        <v>紫</v>
      </c>
      <c r="Y174" s="19">
        <f t="shared" si="45"/>
        <v>6260</v>
      </c>
      <c r="Z174" s="19">
        <f ca="1" t="shared" si="19"/>
        <v>1.63422680412371</v>
      </c>
      <c r="AA174" s="282">
        <f ca="1" t="shared" si="20"/>
        <v>23.287759375</v>
      </c>
      <c r="AB174" s="282">
        <f ca="1" t="shared" si="21"/>
        <v>5.1453125</v>
      </c>
      <c r="AC174" s="282">
        <f ca="1" t="shared" si="22"/>
        <v>1.19385</v>
      </c>
      <c r="AD174" s="282">
        <f ca="1" t="shared" si="23"/>
        <v>0.2984625</v>
      </c>
      <c r="AE174" s="282">
        <f ca="1" t="shared" si="24"/>
        <v>0.074615625</v>
      </c>
      <c r="AF174" s="19" t="str">
        <f t="shared" si="25"/>
        <v>红1</v>
      </c>
      <c r="AG174" s="19">
        <f>IFERROR(_xlfn.XLOOKUP(C174+1,[2]基因升级!$E$141:$E$500,[2]基因升级!$D$141:$D$500)-1,AG173)</f>
        <v>60</v>
      </c>
      <c r="AH174" s="19">
        <v>5</v>
      </c>
      <c r="AI174" s="19">
        <f t="shared" si="26"/>
        <v>6.94668959324004</v>
      </c>
      <c r="AJ174" s="19">
        <f t="shared" si="37"/>
        <v>0</v>
      </c>
      <c r="AK174" s="269">
        <v>1.6</v>
      </c>
      <c r="AQ174" s="19">
        <f t="shared" si="27"/>
        <v>1</v>
      </c>
      <c r="AR174" s="19">
        <f t="shared" si="28"/>
        <v>1</v>
      </c>
      <c r="AS174" s="19">
        <f t="shared" si="29"/>
        <v>1</v>
      </c>
      <c r="AT174" s="19">
        <f t="shared" si="30"/>
        <v>1</v>
      </c>
      <c r="AU174" s="19">
        <f t="shared" si="31"/>
        <v>1</v>
      </c>
    </row>
    <row r="175" spans="1:47">
      <c r="A175" s="279">
        <f ca="1">SUM($N$125:N175)</f>
        <v>15.4154309763194</v>
      </c>
      <c r="C175" s="19">
        <v>52</v>
      </c>
      <c r="D175" s="86">
        <f ca="1" t="shared" si="38"/>
        <v>91.5970934156361</v>
      </c>
      <c r="E175" s="251">
        <f ca="1" t="shared" si="15"/>
        <v>0.588896434955726</v>
      </c>
      <c r="F175" s="269">
        <f ca="1" t="shared" si="32"/>
        <v>106.81928832961</v>
      </c>
      <c r="G175" s="283">
        <f ca="1" t="shared" si="43"/>
        <v>62.9054980818152</v>
      </c>
      <c r="H175" s="279">
        <f ca="1" t="shared" si="33"/>
        <v>0.426120722589786</v>
      </c>
      <c r="I175" s="269">
        <f ca="1">SUM($J$125:J175)/SUM($H$125:H175)</f>
        <v>0.708623271016553</v>
      </c>
      <c r="J175" s="284">
        <f t="shared" si="39"/>
        <v>0.301041754717566</v>
      </c>
      <c r="K175" s="19">
        <f t="shared" si="44"/>
        <v>6100</v>
      </c>
      <c r="L175" s="269">
        <f t="shared" si="34"/>
        <v>1.30499999999999</v>
      </c>
      <c r="M175" s="226">
        <f ca="1" t="shared" si="35"/>
        <v>3.916</v>
      </c>
      <c r="N175" s="280">
        <f ca="1" t="shared" si="40"/>
        <v>0.125078967872215</v>
      </c>
      <c r="O175" s="226">
        <f t="shared" si="48"/>
        <v>1.65</v>
      </c>
      <c r="P175" s="19">
        <f ca="1" t="shared" si="46"/>
        <v>14.7333333333333</v>
      </c>
      <c r="Q175" s="226">
        <f ca="1" t="shared" si="47"/>
        <v>2.37333333333333</v>
      </c>
      <c r="R175" s="269">
        <f ca="1" t="shared" si="16"/>
        <v>0.295551720656095</v>
      </c>
      <c r="S175" s="266">
        <f ca="1" t="shared" si="17"/>
        <v>27.7655723269805</v>
      </c>
      <c r="T175" s="226">
        <f ca="1">(1+OFFSET('玩法产出(新)'!$C$18,MATCH(X175,'玩法产出(新)'!$B$19:$B$25,0),1)*(1-V175)+OFFSET('玩法产出(新)'!$C$18,1+MATCH(X175,'玩法产出(新)'!$B$19:$B$25,0),1)*(V175))^AA175*(1+OFFSET('玩法产出(新)'!$C$18,MATCH(X175,'玩法产出(新)'!$B$19:$B$25,0),3)*(1-V175)+OFFSET('玩法产出(新)'!$C$18,1+MATCH(X175,'玩法产出(新)'!$B$19:$B$25,0),3)*(V175))^AB175*(1+OFFSET('玩法产出(新)'!$C$18,MATCH(X175,'玩法产出(新)'!$B$19:$B$25,0),4)*(1-V175)+OFFSET('玩法产出(新)'!$C$18,1+MATCH(X175,'玩法产出(新)'!$B$19:$B$25,0),4)*(V175))^AC175*(1+OFFSET('玩法产出(新)'!$C$18,MATCH(X175,'玩法产出(新)'!$B$19:$B$25,0),5)*(1+V175)+OFFSET('玩法产出(新)'!$C$18,1+MATCH(X175,'玩法产出(新)'!$B$19:$B$25,5),1)*(V175))^AD175*(1+OFFSET('玩法产出(新)'!$C$18,MATCH(X175,'玩法产出(新)'!$B$19:$B$25,0),6)*(1+V175)+OFFSET('玩法产出(新)'!$C$18,1+MATCH(X175,'玩法产出(新)'!$B$19:$B$25,0),6)*(V175))^AE175</f>
        <v>6.54421267327988</v>
      </c>
      <c r="U175" s="226">
        <f ca="1" t="shared" si="36"/>
        <v>0.162775712365946</v>
      </c>
      <c r="V175" s="226">
        <f ca="1">COUNTIF($X$124:$X175,X175)/(COUNTIF($X$124:$X$723,X175)+1)</f>
        <v>0.329896907216495</v>
      </c>
      <c r="W175" s="19">
        <v>30</v>
      </c>
      <c r="X175" s="19" t="str">
        <f ca="1" t="shared" si="18"/>
        <v>紫</v>
      </c>
      <c r="Y175" s="19">
        <f t="shared" si="45"/>
        <v>6360</v>
      </c>
      <c r="Z175" s="19">
        <f ca="1" t="shared" si="19"/>
        <v>1.63855670103093</v>
      </c>
      <c r="AA175" s="282">
        <f ca="1" t="shared" si="20"/>
        <v>23.1879979166667</v>
      </c>
      <c r="AB175" s="282">
        <f ca="1" t="shared" si="21"/>
        <v>5.21770833333333</v>
      </c>
      <c r="AC175" s="282">
        <f ca="1" t="shared" si="22"/>
        <v>1.2147</v>
      </c>
      <c r="AD175" s="282">
        <f ca="1" t="shared" si="23"/>
        <v>0.303675</v>
      </c>
      <c r="AE175" s="282">
        <f ca="1" t="shared" si="24"/>
        <v>0.07591875</v>
      </c>
      <c r="AF175" s="19" t="str">
        <f t="shared" si="25"/>
        <v>红1</v>
      </c>
      <c r="AG175" s="19">
        <f>IFERROR(_xlfn.XLOOKUP(C175+1,[2]基因升级!$E$141:$E$500,[2]基因升级!$D$141:$D$500)-1,AG174)</f>
        <v>60</v>
      </c>
      <c r="AH175" s="19">
        <v>5</v>
      </c>
      <c r="AI175" s="19">
        <f t="shared" si="26"/>
        <v>6.94668959324004</v>
      </c>
      <c r="AJ175" s="19">
        <f t="shared" si="37"/>
        <v>0</v>
      </c>
      <c r="AK175" s="269">
        <v>1.6</v>
      </c>
      <c r="AQ175" s="19">
        <f t="shared" si="27"/>
        <v>1</v>
      </c>
      <c r="AR175" s="19">
        <f t="shared" si="28"/>
        <v>1</v>
      </c>
      <c r="AS175" s="19">
        <f t="shared" si="29"/>
        <v>1</v>
      </c>
      <c r="AT175" s="19">
        <f t="shared" si="30"/>
        <v>1</v>
      </c>
      <c r="AU175" s="19">
        <f t="shared" si="31"/>
        <v>1</v>
      </c>
    </row>
    <row r="176" spans="1:47">
      <c r="A176" s="279">
        <f ca="1">SUM($N$125:N176)</f>
        <v>15.5394603181041</v>
      </c>
      <c r="C176" s="19">
        <v>53</v>
      </c>
      <c r="D176" s="86">
        <f ca="1" t="shared" si="38"/>
        <v>92.1820262272735</v>
      </c>
      <c r="E176" s="251">
        <f ca="1" t="shared" si="15"/>
        <v>0.584932811637386</v>
      </c>
      <c r="F176" s="269">
        <f ca="1" t="shared" si="32"/>
        <v>108.262655716905</v>
      </c>
      <c r="G176" s="283">
        <f ca="1" t="shared" si="43"/>
        <v>63.3263796038198</v>
      </c>
      <c r="H176" s="279">
        <f ca="1" t="shared" si="33"/>
        <v>0.420881522004585</v>
      </c>
      <c r="I176" s="269">
        <f ca="1">SUM($J$125:J176)/SUM($H$125:H176)</f>
        <v>0.7085971252211</v>
      </c>
      <c r="J176" s="284">
        <f t="shared" si="39"/>
        <v>0.296852180219901</v>
      </c>
      <c r="K176" s="19">
        <f t="shared" si="44"/>
        <v>6200</v>
      </c>
      <c r="L176" s="269">
        <f t="shared" si="34"/>
        <v>1.30999999999999</v>
      </c>
      <c r="M176" s="226">
        <f ca="1" t="shared" si="35"/>
        <v>3.949</v>
      </c>
      <c r="N176" s="280">
        <f ca="1" t="shared" si="40"/>
        <v>0.124029341784684</v>
      </c>
      <c r="O176" s="226">
        <f t="shared" si="48"/>
        <v>1.65</v>
      </c>
      <c r="P176" s="19">
        <f ca="1" t="shared" si="46"/>
        <v>14.9333333333333</v>
      </c>
      <c r="Q176" s="226">
        <f ca="1" t="shared" si="47"/>
        <v>2.39333333333333</v>
      </c>
      <c r="R176" s="269">
        <f ca="1" t="shared" si="16"/>
        <v>0.297297971025288</v>
      </c>
      <c r="S176" s="266">
        <f ca="1" t="shared" si="17"/>
        <v>27.9296236166133</v>
      </c>
      <c r="T176" s="226">
        <f ca="1">(1+OFFSET('玩法产出(新)'!$C$18,MATCH(X176,'玩法产出(新)'!$B$19:$B$25,0),1)*(1-V176)+OFFSET('玩法产出(新)'!$C$18,1+MATCH(X176,'玩法产出(新)'!$B$19:$B$25,0),1)*(V176))^AA176*(1+OFFSET('玩法产出(新)'!$C$18,MATCH(X176,'玩法产出(新)'!$B$19:$B$25,0),3)*(1-V176)+OFFSET('玩法产出(新)'!$C$18,1+MATCH(X176,'玩法产出(新)'!$B$19:$B$25,0),3)*(V176))^AB176*(1+OFFSET('玩法产出(新)'!$C$18,MATCH(X176,'玩法产出(新)'!$B$19:$B$25,0),4)*(1-V176)+OFFSET('玩法产出(新)'!$C$18,1+MATCH(X176,'玩法产出(新)'!$B$19:$B$25,0),4)*(V176))^AC176*(1+OFFSET('玩法产出(新)'!$C$18,MATCH(X176,'玩法产出(新)'!$B$19:$B$25,0),5)*(1+V176)+OFFSET('玩法产出(新)'!$C$18,1+MATCH(X176,'玩法产出(新)'!$B$19:$B$25,5),1)*(V176))^AD176*(1+OFFSET('玩法产出(新)'!$C$18,MATCH(X176,'玩法产出(新)'!$B$19:$B$25,0),6)*(1+V176)+OFFSET('玩法产出(新)'!$C$18,1+MATCH(X176,'玩法产出(新)'!$B$19:$B$25,0),6)*(V176))^AE176</f>
        <v>6.61725470151947</v>
      </c>
      <c r="U176" s="226">
        <f ca="1" t="shared" si="36"/>
        <v>0.164051289632801</v>
      </c>
      <c r="V176" s="226">
        <f ca="1">COUNTIF($X$124:$X176,X176)/(COUNTIF($X$124:$X$723,X176)+1)</f>
        <v>0.34020618556701</v>
      </c>
      <c r="W176" s="19">
        <v>30</v>
      </c>
      <c r="X176" s="19" t="str">
        <f ca="1" t="shared" si="18"/>
        <v>紫</v>
      </c>
      <c r="Y176" s="19">
        <f t="shared" si="45"/>
        <v>6460</v>
      </c>
      <c r="Z176" s="19">
        <f ca="1" t="shared" si="19"/>
        <v>1.64288659793814</v>
      </c>
      <c r="AA176" s="282">
        <f ca="1" t="shared" si="20"/>
        <v>23.0882364583333</v>
      </c>
      <c r="AB176" s="282">
        <f ca="1" t="shared" si="21"/>
        <v>5.29010416666667</v>
      </c>
      <c r="AC176" s="282">
        <f ca="1" t="shared" si="22"/>
        <v>1.23555</v>
      </c>
      <c r="AD176" s="282">
        <f ca="1" t="shared" si="23"/>
        <v>0.3088875</v>
      </c>
      <c r="AE176" s="282">
        <f ca="1" t="shared" si="24"/>
        <v>0.077221875</v>
      </c>
      <c r="AF176" s="19" t="str">
        <f t="shared" si="25"/>
        <v>红1</v>
      </c>
      <c r="AG176" s="19">
        <f>IFERROR(_xlfn.XLOOKUP(C176+1,[2]基因升级!$E$141:$E$500,[2]基因升级!$D$141:$D$500)-1,AG175)</f>
        <v>60</v>
      </c>
      <c r="AH176" s="19">
        <v>5</v>
      </c>
      <c r="AI176" s="19">
        <f t="shared" si="26"/>
        <v>6.94668959324004</v>
      </c>
      <c r="AJ176" s="19">
        <f t="shared" si="37"/>
        <v>0</v>
      </c>
      <c r="AK176" s="269">
        <v>1.6</v>
      </c>
      <c r="AQ176" s="19">
        <f t="shared" si="27"/>
        <v>1</v>
      </c>
      <c r="AR176" s="19">
        <f t="shared" si="28"/>
        <v>1</v>
      </c>
      <c r="AS176" s="19">
        <f t="shared" si="29"/>
        <v>1</v>
      </c>
      <c r="AT176" s="19">
        <f t="shared" si="30"/>
        <v>1</v>
      </c>
      <c r="AU176" s="19">
        <f t="shared" si="31"/>
        <v>1</v>
      </c>
    </row>
    <row r="177" spans="1:52">
      <c r="A177" s="279">
        <f ca="1">SUM($N$125:N177)</f>
        <v>15.6624575036111</v>
      </c>
      <c r="C177" s="19">
        <v>54</v>
      </c>
      <c r="D177" s="86">
        <f ca="1" t="shared" si="38"/>
        <v>92.7631389857524</v>
      </c>
      <c r="E177" s="251">
        <f ca="1" t="shared" si="15"/>
        <v>0.581112758478976</v>
      </c>
      <c r="F177" s="269">
        <f ca="1" t="shared" si="32"/>
        <v>109.6898446123</v>
      </c>
      <c r="G177" s="283">
        <f ca="1" t="shared" si="43"/>
        <v>63.7421681797842</v>
      </c>
      <c r="H177" s="279">
        <f ca="1" t="shared" si="33"/>
        <v>0.415788575964356</v>
      </c>
      <c r="I177" s="269">
        <f ca="1">SUM($J$125:J177)/SUM($H$125:H177)</f>
        <v>0.708562977005034</v>
      </c>
      <c r="J177" s="284">
        <f t="shared" si="39"/>
        <v>0.292791390457282</v>
      </c>
      <c r="K177" s="19">
        <f t="shared" si="44"/>
        <v>6300</v>
      </c>
      <c r="L177" s="269">
        <f t="shared" si="34"/>
        <v>1.31499999999999</v>
      </c>
      <c r="M177" s="226">
        <f ca="1" t="shared" si="35"/>
        <v>3.98199999999999</v>
      </c>
      <c r="N177" s="280">
        <f ca="1" t="shared" si="40"/>
        <v>0.122997185507076</v>
      </c>
      <c r="O177" s="226">
        <f t="shared" si="48"/>
        <v>1.65</v>
      </c>
      <c r="P177" s="19">
        <f ca="1" t="shared" si="46"/>
        <v>15.1333333333333</v>
      </c>
      <c r="Q177" s="226">
        <f ca="1" t="shared" si="47"/>
        <v>2.41333333333333</v>
      </c>
      <c r="R177" s="269">
        <f ca="1" t="shared" si="16"/>
        <v>0.299057770752548</v>
      </c>
      <c r="S177" s="266">
        <f ca="1" t="shared" si="17"/>
        <v>28.0949477991279</v>
      </c>
      <c r="T177" s="226">
        <f ca="1">(1+OFFSET('玩法产出(新)'!$C$18,MATCH(X177,'玩法产出(新)'!$B$19:$B$25,0),1)*(1-V177)+OFFSET('玩法产出(新)'!$C$18,1+MATCH(X177,'玩法产出(新)'!$B$19:$B$25,0),1)*(V177))^AA177*(1+OFFSET('玩法产出(新)'!$C$18,MATCH(X177,'玩法产出(新)'!$B$19:$B$25,0),3)*(1-V177)+OFFSET('玩法产出(新)'!$C$18,1+MATCH(X177,'玩法产出(新)'!$B$19:$B$25,0),3)*(V177))^AB177*(1+OFFSET('玩法产出(新)'!$C$18,MATCH(X177,'玩法产出(新)'!$B$19:$B$25,0),4)*(1-V177)+OFFSET('玩法产出(新)'!$C$18,1+MATCH(X177,'玩法产出(新)'!$B$19:$B$25,0),4)*(V177))^AC177*(1+OFFSET('玩法产出(新)'!$C$18,MATCH(X177,'玩法产出(新)'!$B$19:$B$25,0),5)*(1+V177)+OFFSET('玩法产出(新)'!$C$18,1+MATCH(X177,'玩法产出(新)'!$B$19:$B$25,5),1)*(V177))^AD177*(1+OFFSET('玩法产出(新)'!$C$18,MATCH(X177,'玩法产出(新)'!$B$19:$B$25,0),6)*(1+V177)+OFFSET('玩法产出(新)'!$C$18,1+MATCH(X177,'玩法产出(新)'!$B$19:$B$25,0),6)*(V177))^AE177</f>
        <v>6.69168825312586</v>
      </c>
      <c r="U177" s="226">
        <f ca="1" t="shared" si="36"/>
        <v>0.165324182514618</v>
      </c>
      <c r="V177" s="226">
        <f ca="1">COUNTIF($X$124:$X177,X177)/(COUNTIF($X$124:$X$723,X177)+1)</f>
        <v>0.350515463917526</v>
      </c>
      <c r="W177" s="19">
        <v>30</v>
      </c>
      <c r="X177" s="19" t="str">
        <f ca="1" t="shared" si="18"/>
        <v>紫</v>
      </c>
      <c r="Y177" s="19">
        <f t="shared" si="45"/>
        <v>6560</v>
      </c>
      <c r="Z177" s="19">
        <f ca="1" t="shared" si="19"/>
        <v>1.64721649484536</v>
      </c>
      <c r="AA177" s="282">
        <f ca="1" t="shared" si="20"/>
        <v>22.988475</v>
      </c>
      <c r="AB177" s="282">
        <f ca="1" t="shared" si="21"/>
        <v>5.3625</v>
      </c>
      <c r="AC177" s="282">
        <f ca="1" t="shared" si="22"/>
        <v>1.2564</v>
      </c>
      <c r="AD177" s="282">
        <f ca="1" t="shared" si="23"/>
        <v>0.3141</v>
      </c>
      <c r="AE177" s="282">
        <f ca="1" t="shared" si="24"/>
        <v>0.078525</v>
      </c>
      <c r="AF177" s="19" t="str">
        <f t="shared" si="25"/>
        <v>红1</v>
      </c>
      <c r="AG177" s="19">
        <f>IFERROR(_xlfn.XLOOKUP(C177+1,[2]基因升级!$E$141:$E$500,[2]基因升级!$D$141:$D$500)-1,AG176)</f>
        <v>61</v>
      </c>
      <c r="AH177" s="19">
        <v>5</v>
      </c>
      <c r="AI177" s="19">
        <f t="shared" si="26"/>
        <v>6.94668959324004</v>
      </c>
      <c r="AJ177" s="19">
        <f t="shared" si="37"/>
        <v>0</v>
      </c>
      <c r="AK177" s="269">
        <v>1.6</v>
      </c>
      <c r="AQ177" s="19">
        <f t="shared" si="27"/>
        <v>1</v>
      </c>
      <c r="AR177" s="19">
        <f t="shared" si="28"/>
        <v>1</v>
      </c>
      <c r="AS177" s="19">
        <f t="shared" si="29"/>
        <v>1</v>
      </c>
      <c r="AT177" s="19">
        <f t="shared" si="30"/>
        <v>1</v>
      </c>
      <c r="AU177" s="19">
        <f t="shared" si="31"/>
        <v>1</v>
      </c>
    </row>
    <row r="178" spans="1:52">
      <c r="A178" s="279">
        <f ca="1">SUM($N$125:N178)</f>
        <v>15.7844395701006</v>
      </c>
      <c r="C178" s="19">
        <v>55</v>
      </c>
      <c r="D178" s="86">
        <f ca="1" t="shared" si="38"/>
        <v>93.3405688143997</v>
      </c>
      <c r="E178" s="251">
        <f ca="1" t="shared" si="15"/>
        <v>0.577429828647304</v>
      </c>
      <c r="F178" s="269">
        <f ca="1" t="shared" si="32"/>
        <v>111.100951879193</v>
      </c>
      <c r="G178" s="283">
        <f ca="1" t="shared" si="43"/>
        <v>64.153003606155</v>
      </c>
      <c r="H178" s="279">
        <f ca="1" t="shared" si="33"/>
        <v>0.410835426370802</v>
      </c>
      <c r="I178" s="269">
        <f ca="1">SUM($J$125:J178)/SUM($H$125:H178)</f>
        <v>0.708521438904886</v>
      </c>
      <c r="J178" s="284">
        <f t="shared" si="39"/>
        <v>0.288853359881323</v>
      </c>
      <c r="K178" s="19">
        <f t="shared" si="44"/>
        <v>6400</v>
      </c>
      <c r="L178" s="269">
        <f t="shared" si="34"/>
        <v>1.31999999999999</v>
      </c>
      <c r="M178" s="226">
        <f ca="1" t="shared" si="35"/>
        <v>4.015</v>
      </c>
      <c r="N178" s="280">
        <f ca="1" t="shared" si="40"/>
        <v>0.121982066489474</v>
      </c>
      <c r="O178" s="226">
        <f t="shared" si="48"/>
        <v>1.65</v>
      </c>
      <c r="P178" s="19">
        <f ca="1" t="shared" si="46"/>
        <v>15.3333333333333</v>
      </c>
      <c r="Q178" s="226">
        <f ca="1" t="shared" si="47"/>
        <v>2.43333333333333</v>
      </c>
      <c r="R178" s="269">
        <f ca="1" t="shared" si="16"/>
        <v>0.300831091383748</v>
      </c>
      <c r="S178" s="266">
        <f ca="1" t="shared" si="17"/>
        <v>28.2615422014044</v>
      </c>
      <c r="T178" s="226">
        <f ca="1">(1+OFFSET('玩法产出(新)'!$C$18,MATCH(X178,'玩法产出(新)'!$B$19:$B$25,0),1)*(1-V178)+OFFSET('玩法产出(新)'!$C$18,1+MATCH(X178,'玩法产出(新)'!$B$19:$B$25,0),1)*(V178))^AA178*(1+OFFSET('玩法产出(新)'!$C$18,MATCH(X178,'玩法产出(新)'!$B$19:$B$25,0),3)*(1-V178)+OFFSET('玩法产出(新)'!$C$18,1+MATCH(X178,'玩法产出(新)'!$B$19:$B$25,0),3)*(V178))^AB178*(1+OFFSET('玩法产出(新)'!$C$18,MATCH(X178,'玩法产出(新)'!$B$19:$B$25,0),4)*(1-V178)+OFFSET('玩法产出(新)'!$C$18,1+MATCH(X178,'玩法产出(新)'!$B$19:$B$25,0),4)*(V178))^AC178*(1+OFFSET('玩法产出(新)'!$C$18,MATCH(X178,'玩法产出(新)'!$B$19:$B$25,0),5)*(1+V178)+OFFSET('玩法产出(新)'!$C$18,1+MATCH(X178,'玩法产出(新)'!$B$19:$B$25,5),1)*(V178))^AD178*(1+OFFSET('玩法产出(新)'!$C$18,MATCH(X178,'玩法产出(新)'!$B$19:$B$25,0),6)*(1+V178)+OFFSET('玩法产出(新)'!$C$18,1+MATCH(X178,'玩法产出(新)'!$B$19:$B$25,0),6)*(V178))^AE178</f>
        <v>6.76754064996614</v>
      </c>
      <c r="U178" s="226">
        <f ca="1" t="shared" si="36"/>
        <v>0.166594402276507</v>
      </c>
      <c r="V178" s="226">
        <f ca="1">COUNTIF($X$124:$X178,X178)/(COUNTIF($X$124:$X$723,X178)+1)</f>
        <v>0.360824742268041</v>
      </c>
      <c r="W178" s="19">
        <v>30</v>
      </c>
      <c r="X178" s="19" t="str">
        <f ca="1" t="shared" si="18"/>
        <v>紫</v>
      </c>
      <c r="Y178" s="19">
        <f t="shared" si="45"/>
        <v>6660</v>
      </c>
      <c r="Z178" s="19">
        <f ca="1" t="shared" si="19"/>
        <v>1.65154639175258</v>
      </c>
      <c r="AA178" s="282">
        <f ca="1" t="shared" si="20"/>
        <v>22.8887135416667</v>
      </c>
      <c r="AB178" s="282">
        <f ca="1" t="shared" si="21"/>
        <v>5.43489583333333</v>
      </c>
      <c r="AC178" s="282">
        <f ca="1" t="shared" si="22"/>
        <v>1.27725</v>
      </c>
      <c r="AD178" s="282">
        <f ca="1" t="shared" si="23"/>
        <v>0.3193125</v>
      </c>
      <c r="AE178" s="282">
        <f ca="1" t="shared" si="24"/>
        <v>0.079828125</v>
      </c>
      <c r="AF178" s="19" t="str">
        <f t="shared" si="25"/>
        <v>红1</v>
      </c>
      <c r="AG178" s="19">
        <f>IFERROR(_xlfn.XLOOKUP(C178+1,[2]基因升级!$E$141:$E$500,[2]基因升级!$D$141:$D$500)-1,AG177)</f>
        <v>61</v>
      </c>
      <c r="AH178" s="19">
        <v>5</v>
      </c>
      <c r="AI178" s="19">
        <f t="shared" si="26"/>
        <v>6.94668959324004</v>
      </c>
      <c r="AJ178" s="19">
        <f t="shared" si="37"/>
        <v>0</v>
      </c>
      <c r="AK178" s="269">
        <v>1.6</v>
      </c>
      <c r="AQ178" s="19">
        <f t="shared" si="27"/>
        <v>1</v>
      </c>
      <c r="AR178" s="19">
        <f t="shared" si="28"/>
        <v>1</v>
      </c>
      <c r="AS178" s="19">
        <f t="shared" si="29"/>
        <v>1</v>
      </c>
      <c r="AT178" s="19">
        <f t="shared" si="30"/>
        <v>1</v>
      </c>
      <c r="AU178" s="19">
        <f t="shared" si="31"/>
        <v>1</v>
      </c>
    </row>
    <row r="179" spans="1:52">
      <c r="A179" s="279">
        <f ca="1">SUM($N$125:N179)</f>
        <v>15.9054231364455</v>
      </c>
      <c r="C179" s="19">
        <v>56</v>
      </c>
      <c r="D179" s="86">
        <f ca="1" t="shared" si="38"/>
        <v>93.91444677663</v>
      </c>
      <c r="E179" s="251">
        <f ca="1" t="shared" si="15"/>
        <v>0.573877962230263</v>
      </c>
      <c r="F179" s="269">
        <f ca="1" t="shared" si="32"/>
        <v>112.496077314733</v>
      </c>
      <c r="G179" s="283">
        <f ca="1" t="shared" si="43"/>
        <v>64.5590196082769</v>
      </c>
      <c r="H179" s="279">
        <f ca="1" t="shared" si="33"/>
        <v>0.406016002121916</v>
      </c>
      <c r="I179" s="269">
        <f ca="1">SUM($J$125:J179)/SUM($H$125:H179)</f>
        <v>0.708473076484084</v>
      </c>
      <c r="J179" s="284">
        <f t="shared" si="39"/>
        <v>0.285032435776998</v>
      </c>
      <c r="K179" s="19">
        <f t="shared" si="44"/>
        <v>6500</v>
      </c>
      <c r="L179" s="269">
        <f t="shared" si="34"/>
        <v>1.32499999999999</v>
      </c>
      <c r="M179" s="226">
        <f ca="1" t="shared" si="35"/>
        <v>4.04799999999999</v>
      </c>
      <c r="N179" s="280">
        <f ca="1" t="shared" si="40"/>
        <v>0.120983566344915</v>
      </c>
      <c r="O179" s="226">
        <f t="shared" si="48"/>
        <v>1.65</v>
      </c>
      <c r="P179" s="19">
        <f ca="1" t="shared" si="46"/>
        <v>15.5333333333333</v>
      </c>
      <c r="Q179" s="226">
        <f ca="1" t="shared" si="47"/>
        <v>2.45333333333333</v>
      </c>
      <c r="R179" s="269">
        <f ca="1" t="shared" si="16"/>
        <v>0.302617904583868</v>
      </c>
      <c r="S179" s="266">
        <f ca="1" t="shared" si="17"/>
        <v>28.4294041615127</v>
      </c>
      <c r="T179" s="226">
        <f ca="1">(1+OFFSET('玩法产出(新)'!$C$18,MATCH(X179,'玩法产出(新)'!$B$19:$B$25,0),1)*(1-V179)+OFFSET('玩法产出(新)'!$C$18,1+MATCH(X179,'玩法产出(新)'!$B$19:$B$25,0),1)*(V179))^AA179*(1+OFFSET('玩法产出(新)'!$C$18,MATCH(X179,'玩法产出(新)'!$B$19:$B$25,0),3)*(1-V179)+OFFSET('玩法产出(新)'!$C$18,1+MATCH(X179,'玩法产出(新)'!$B$19:$B$25,0),3)*(V179))^AB179*(1+OFFSET('玩法产出(新)'!$C$18,MATCH(X179,'玩法产出(新)'!$B$19:$B$25,0),4)*(1-V179)+OFFSET('玩法产出(新)'!$C$18,1+MATCH(X179,'玩法产出(新)'!$B$19:$B$25,0),4)*(V179))^AC179*(1+OFFSET('玩法产出(新)'!$C$18,MATCH(X179,'玩法产出(新)'!$B$19:$B$25,0),5)*(1+V179)+OFFSET('玩法产出(新)'!$C$18,1+MATCH(X179,'玩法产出(新)'!$B$19:$B$25,5),1)*(V179))^AD179*(1+OFFSET('玩法产出(新)'!$C$18,MATCH(X179,'玩法产出(新)'!$B$19:$B$25,0),6)*(1+V179)+OFFSET('玩法产出(新)'!$C$18,1+MATCH(X179,'玩法产出(新)'!$B$19:$B$25,0),6)*(V179))^AE179</f>
        <v>6.8448398544969</v>
      </c>
      <c r="U179" s="226">
        <f ca="1" t="shared" si="36"/>
        <v>0.167861960108351</v>
      </c>
      <c r="V179" s="226">
        <f ca="1">COUNTIF($X$124:$X179,X179)/(COUNTIF($X$124:$X$723,X179)+1)</f>
        <v>0.371134020618557</v>
      </c>
      <c r="W179" s="19">
        <v>30</v>
      </c>
      <c r="X179" s="19" t="str">
        <f ca="1" t="shared" si="18"/>
        <v>紫</v>
      </c>
      <c r="Y179" s="19">
        <f t="shared" si="45"/>
        <v>6760</v>
      </c>
      <c r="Z179" s="19">
        <f ca="1" t="shared" si="19"/>
        <v>1.65587628865979</v>
      </c>
      <c r="AA179" s="282">
        <f ca="1" t="shared" si="20"/>
        <v>22.7889520833333</v>
      </c>
      <c r="AB179" s="282">
        <f ca="1" t="shared" si="21"/>
        <v>5.50729166666667</v>
      </c>
      <c r="AC179" s="282">
        <f ca="1" t="shared" si="22"/>
        <v>1.2981</v>
      </c>
      <c r="AD179" s="282">
        <f ca="1" t="shared" si="23"/>
        <v>0.324525</v>
      </c>
      <c r="AE179" s="282">
        <f ca="1" t="shared" si="24"/>
        <v>0.08113125</v>
      </c>
      <c r="AF179" s="19" t="str">
        <f t="shared" si="25"/>
        <v>红1</v>
      </c>
      <c r="AG179" s="19">
        <f>IFERROR(_xlfn.XLOOKUP(C179+1,[2]基因升级!$E$141:$E$500,[2]基因升级!$D$141:$D$500)-1,AG178)</f>
        <v>62</v>
      </c>
      <c r="AH179" s="19">
        <v>5</v>
      </c>
      <c r="AI179" s="19">
        <f t="shared" si="26"/>
        <v>6.94668959324004</v>
      </c>
      <c r="AJ179" s="19">
        <f t="shared" si="37"/>
        <v>0</v>
      </c>
      <c r="AK179" s="269">
        <v>1.6</v>
      </c>
      <c r="AQ179" s="19">
        <f t="shared" si="27"/>
        <v>1</v>
      </c>
      <c r="AR179" s="19">
        <f t="shared" si="28"/>
        <v>1</v>
      </c>
      <c r="AS179" s="19">
        <f t="shared" si="29"/>
        <v>1</v>
      </c>
      <c r="AT179" s="19">
        <f t="shared" si="30"/>
        <v>1</v>
      </c>
      <c r="AU179" s="19">
        <f t="shared" si="31"/>
        <v>1</v>
      </c>
    </row>
    <row r="180" spans="1:52">
      <c r="A180" s="279">
        <f ca="1">SUM($N$125:N180)</f>
        <v>16.0254244167201</v>
      </c>
      <c r="C180" s="19">
        <v>57</v>
      </c>
      <c r="D180" s="86">
        <f ca="1" t="shared" si="38"/>
        <v>94.4848982338444</v>
      </c>
      <c r="E180" s="251">
        <f ca="1" t="shared" si="15"/>
        <v>0.570451457214438</v>
      </c>
      <c r="F180" s="269">
        <f ca="1" t="shared" si="32"/>
        <v>113.875323442196</v>
      </c>
      <c r="G180" s="283">
        <f ca="1" t="shared" si="43"/>
        <v>64.9603441983665</v>
      </c>
      <c r="H180" s="279">
        <f ca="1" t="shared" si="33"/>
        <v>0.401324590089587</v>
      </c>
      <c r="I180" s="269">
        <f ca="1">SUM($J$125:J180)/SUM($H$125:H180)</f>
        <v>0.708418412394216</v>
      </c>
      <c r="J180" s="284">
        <f t="shared" si="39"/>
        <v>0.281323309815036</v>
      </c>
      <c r="K180" s="19">
        <f t="shared" si="44"/>
        <v>6600</v>
      </c>
      <c r="L180" s="269">
        <f t="shared" si="34"/>
        <v>1.32999999999999</v>
      </c>
      <c r="M180" s="226">
        <f ca="1" t="shared" si="35"/>
        <v>4.081</v>
      </c>
      <c r="N180" s="280">
        <f ca="1" t="shared" si="40"/>
        <v>0.120001280274561</v>
      </c>
      <c r="O180" s="226">
        <f t="shared" si="48"/>
        <v>1.65</v>
      </c>
      <c r="P180" s="19">
        <f ca="1" t="shared" si="46"/>
        <v>15.7333333333333</v>
      </c>
      <c r="Q180" s="226">
        <f ca="1" t="shared" si="47"/>
        <v>2.47333333333333</v>
      </c>
      <c r="R180" s="269">
        <f ca="1" t="shared" si="16"/>
        <v>0.3044181821362</v>
      </c>
      <c r="S180" s="266">
        <f ca="1" t="shared" si="17"/>
        <v>28.5985310286376</v>
      </c>
      <c r="T180" s="226">
        <f ca="1">(1+OFFSET('玩法产出(新)'!$C$18,MATCH(X180,'玩法产出(新)'!$B$19:$B$25,0),1)*(1-V180)+OFFSET('玩法产出(新)'!$C$18,1+MATCH(X180,'玩法产出(新)'!$B$19:$B$25,0),1)*(V180))^AA180*(1+OFFSET('玩法产出(新)'!$C$18,MATCH(X180,'玩法产出(新)'!$B$19:$B$25,0),3)*(1-V180)+OFFSET('玩法产出(新)'!$C$18,1+MATCH(X180,'玩法产出(新)'!$B$19:$B$25,0),3)*(V180))^AB180*(1+OFFSET('玩法产出(新)'!$C$18,MATCH(X180,'玩法产出(新)'!$B$19:$B$25,0),4)*(1-V180)+OFFSET('玩法产出(新)'!$C$18,1+MATCH(X180,'玩法产出(新)'!$B$19:$B$25,0),4)*(V180))^AC180*(1+OFFSET('玩法产出(新)'!$C$18,MATCH(X180,'玩法产出(新)'!$B$19:$B$25,0),5)*(1+V180)+OFFSET('玩法产出(新)'!$C$18,1+MATCH(X180,'玩法产出(新)'!$B$19:$B$25,5),1)*(V180))^AD180*(1+OFFSET('玩法产出(新)'!$C$18,MATCH(X180,'玩法产出(新)'!$B$19:$B$25,0),6)*(1+V180)+OFFSET('玩法产出(新)'!$C$18,1+MATCH(X180,'玩法产出(新)'!$B$19:$B$25,0),6)*(V180))^AE180</f>
        <v>6.92361448532162</v>
      </c>
      <c r="U180" s="226">
        <f ca="1" t="shared" si="36"/>
        <v>0.169126867124841</v>
      </c>
      <c r="V180" s="226">
        <f ca="1">COUNTIF($X$124:$X180,X180)/(COUNTIF($X$124:$X$723,X180)+1)</f>
        <v>0.381443298969072</v>
      </c>
      <c r="W180" s="19">
        <v>30</v>
      </c>
      <c r="X180" s="19" t="str">
        <f ca="1" t="shared" si="18"/>
        <v>紫</v>
      </c>
      <c r="Y180" s="19">
        <f t="shared" si="45"/>
        <v>6860</v>
      </c>
      <c r="Z180" s="19">
        <f ca="1" t="shared" si="19"/>
        <v>1.66020618556701</v>
      </c>
      <c r="AA180" s="282">
        <f ca="1" t="shared" si="20"/>
        <v>22.689190625</v>
      </c>
      <c r="AB180" s="282">
        <f ca="1" t="shared" si="21"/>
        <v>5.5796875</v>
      </c>
      <c r="AC180" s="282">
        <f ca="1" t="shared" si="22"/>
        <v>1.31895</v>
      </c>
      <c r="AD180" s="282">
        <f ca="1" t="shared" si="23"/>
        <v>0.3297375</v>
      </c>
      <c r="AE180" s="282">
        <f ca="1" t="shared" si="24"/>
        <v>0.082434375</v>
      </c>
      <c r="AF180" s="19" t="str">
        <f t="shared" si="25"/>
        <v>红1</v>
      </c>
      <c r="AG180" s="19">
        <f>IFERROR(_xlfn.XLOOKUP(C180+1,[2]基因升级!$E$141:$E$500,[2]基因升级!$D$141:$D$500)-1,AG179)</f>
        <v>62</v>
      </c>
      <c r="AH180" s="19">
        <v>5</v>
      </c>
      <c r="AI180" s="19">
        <f t="shared" si="26"/>
        <v>6.94668959324004</v>
      </c>
      <c r="AJ180" s="19">
        <f t="shared" si="37"/>
        <v>0</v>
      </c>
      <c r="AK180" s="269">
        <v>1.6</v>
      </c>
      <c r="AQ180" s="19">
        <f t="shared" si="27"/>
        <v>1</v>
      </c>
      <c r="AR180" s="19">
        <f t="shared" si="28"/>
        <v>1</v>
      </c>
      <c r="AS180" s="19">
        <f t="shared" si="29"/>
        <v>1</v>
      </c>
      <c r="AT180" s="19">
        <f t="shared" si="30"/>
        <v>1</v>
      </c>
      <c r="AU180" s="19">
        <f t="shared" si="31"/>
        <v>1</v>
      </c>
    </row>
    <row r="181" spans="1:52">
      <c r="A181" s="279">
        <f ca="1">SUM($N$125:N181)</f>
        <v>16.1444592332405</v>
      </c>
      <c r="C181" s="19">
        <v>58</v>
      </c>
      <c r="D181" s="86">
        <f ca="1" t="shared" si="38"/>
        <v>95.0520431769026</v>
      </c>
      <c r="E181" s="251">
        <f ca="1" t="shared" si="15"/>
        <v>0.567144943058192</v>
      </c>
      <c r="F181" s="269">
        <f ca="1" t="shared" si="32"/>
        <v>115.238795315066</v>
      </c>
      <c r="G181" s="283">
        <f ca="1" t="shared" si="43"/>
        <v>65.3571000070578</v>
      </c>
      <c r="H181" s="279">
        <f ca="1" t="shared" si="33"/>
        <v>0.396755808691296</v>
      </c>
      <c r="I181" s="269">
        <f ca="1">SUM($J$125:J181)/SUM($H$125:H181)</f>
        <v>0.708357930036399</v>
      </c>
      <c r="J181" s="284">
        <f t="shared" si="39"/>
        <v>0.277720992170913</v>
      </c>
      <c r="K181" s="19">
        <f t="shared" si="44"/>
        <v>6700</v>
      </c>
      <c r="L181" s="269">
        <f t="shared" si="34"/>
        <v>1.33499999999999</v>
      </c>
      <c r="M181" s="226">
        <f ca="1" t="shared" si="35"/>
        <v>4.114</v>
      </c>
      <c r="N181" s="280">
        <f ca="1" t="shared" si="40"/>
        <v>0.119034816520376</v>
      </c>
      <c r="O181" s="226">
        <f t="shared" si="48"/>
        <v>1.65</v>
      </c>
      <c r="P181" s="19">
        <f ca="1" t="shared" si="46"/>
        <v>15.9333333333333</v>
      </c>
      <c r="Q181" s="226">
        <f ca="1" t="shared" si="47"/>
        <v>2.49333333333333</v>
      </c>
      <c r="R181" s="269">
        <f ca="1" t="shared" si="16"/>
        <v>0.306231895941563</v>
      </c>
      <c r="S181" s="266">
        <f ca="1" t="shared" si="17"/>
        <v>28.7689201630045</v>
      </c>
      <c r="T181" s="226">
        <f ca="1">(1+OFFSET('玩法产出(新)'!$C$18,MATCH(X181,'玩法产出(新)'!$B$19:$B$25,0),1)*(1-V181)+OFFSET('玩法产出(新)'!$C$18,1+MATCH(X181,'玩法产出(新)'!$B$19:$B$25,0),1)*(V181))^AA181*(1+OFFSET('玩法产出(新)'!$C$18,MATCH(X181,'玩法产出(新)'!$B$19:$B$25,0),3)*(1-V181)+OFFSET('玩法产出(新)'!$C$18,1+MATCH(X181,'玩法产出(新)'!$B$19:$B$25,0),3)*(V181))^AB181*(1+OFFSET('玩法产出(新)'!$C$18,MATCH(X181,'玩法产出(新)'!$B$19:$B$25,0),4)*(1-V181)+OFFSET('玩法产出(新)'!$C$18,1+MATCH(X181,'玩法产出(新)'!$B$19:$B$25,0),4)*(V181))^AC181*(1+OFFSET('玩法产出(新)'!$C$18,MATCH(X181,'玩法产出(新)'!$B$19:$B$25,0),5)*(1+V181)+OFFSET('玩法产出(新)'!$C$18,1+MATCH(X181,'玩法产出(新)'!$B$19:$B$25,5),1)*(V181))^AD181*(1+OFFSET('玩法产出(新)'!$C$18,MATCH(X181,'玩法产出(新)'!$B$19:$B$25,0),6)*(1+V181)+OFFSET('玩法产出(新)'!$C$18,1+MATCH(X181,'玩法产出(新)'!$B$19:$B$25,0),6)*(V181))^AE181</f>
        <v>7.00389383316659</v>
      </c>
      <c r="U181" s="226">
        <f ca="1" t="shared" si="36"/>
        <v>0.170389134366903</v>
      </c>
      <c r="V181" s="226">
        <f ca="1">COUNTIF($X$124:$X181,X181)/(COUNTIF($X$124:$X$723,X181)+1)</f>
        <v>0.391752577319588</v>
      </c>
      <c r="W181" s="19">
        <v>30</v>
      </c>
      <c r="X181" s="19" t="str">
        <f ca="1" t="shared" si="18"/>
        <v>紫</v>
      </c>
      <c r="Y181" s="19">
        <f t="shared" si="45"/>
        <v>6960</v>
      </c>
      <c r="Z181" s="19">
        <f ca="1" t="shared" si="19"/>
        <v>1.66453608247423</v>
      </c>
      <c r="AA181" s="282">
        <f ca="1" t="shared" si="20"/>
        <v>22.5894291666667</v>
      </c>
      <c r="AB181" s="282">
        <f ca="1" t="shared" si="21"/>
        <v>5.65208333333333</v>
      </c>
      <c r="AC181" s="282">
        <f ca="1" t="shared" si="22"/>
        <v>1.3398</v>
      </c>
      <c r="AD181" s="282">
        <f ca="1" t="shared" si="23"/>
        <v>0.33495</v>
      </c>
      <c r="AE181" s="282">
        <f ca="1" t="shared" si="24"/>
        <v>0.0837375</v>
      </c>
      <c r="AF181" s="19" t="str">
        <f t="shared" si="25"/>
        <v>红1</v>
      </c>
      <c r="AG181" s="19">
        <f>IFERROR(_xlfn.XLOOKUP(C181+1,[2]基因升级!$E$141:$E$500,[2]基因升级!$D$141:$D$500)-1,AG180)</f>
        <v>62</v>
      </c>
      <c r="AH181" s="19">
        <v>5</v>
      </c>
      <c r="AI181" s="19">
        <f t="shared" si="26"/>
        <v>6.94668959324004</v>
      </c>
      <c r="AJ181" s="19">
        <f t="shared" si="37"/>
        <v>0</v>
      </c>
      <c r="AK181" s="269">
        <v>1.6</v>
      </c>
      <c r="AQ181" s="19">
        <f t="shared" si="27"/>
        <v>1</v>
      </c>
      <c r="AR181" s="19">
        <f t="shared" si="28"/>
        <v>1</v>
      </c>
      <c r="AS181" s="19">
        <f t="shared" si="29"/>
        <v>1</v>
      </c>
      <c r="AT181" s="19">
        <f t="shared" si="30"/>
        <v>1</v>
      </c>
      <c r="AU181" s="19">
        <f t="shared" si="31"/>
        <v>1</v>
      </c>
    </row>
    <row r="182" spans="1:52">
      <c r="A182" s="279">
        <f ca="1">SUM($N$125:N182)</f>
        <v>16.2625430290847</v>
      </c>
      <c r="C182" s="19">
        <v>59</v>
      </c>
      <c r="D182" s="86">
        <f ca="1" t="shared" si="38"/>
        <v>95.6159965334934</v>
      </c>
      <c r="E182" s="251">
        <f ca="1" t="shared" si="15"/>
        <v>0.563953356590724</v>
      </c>
      <c r="F182" s="269">
        <f ca="1" t="shared" si="32"/>
        <v>116.586600332202</v>
      </c>
      <c r="G182" s="283">
        <f ca="1" t="shared" si="43"/>
        <v>65.7494045908465</v>
      </c>
      <c r="H182" s="279">
        <f ca="1" t="shared" si="33"/>
        <v>0.3923045837887</v>
      </c>
      <c r="I182" s="269">
        <f ca="1">SUM($J$125:J182)/SUM($H$125:H182)</f>
        <v>0.708292076867224</v>
      </c>
      <c r="J182" s="284">
        <f t="shared" si="39"/>
        <v>0.274220787944465</v>
      </c>
      <c r="K182" s="19">
        <f t="shared" si="44"/>
        <v>6800</v>
      </c>
      <c r="L182" s="269">
        <f t="shared" si="34"/>
        <v>1.33999999999999</v>
      </c>
      <c r="M182" s="226">
        <f ca="1" t="shared" si="35"/>
        <v>4.14699999999999</v>
      </c>
      <c r="N182" s="280">
        <f ca="1" t="shared" si="40"/>
        <v>0.118083795844232</v>
      </c>
      <c r="O182" s="226">
        <f t="shared" si="48"/>
        <v>1.65</v>
      </c>
      <c r="P182" s="295">
        <f ca="1" t="shared" si="46"/>
        <v>16.1333333333333</v>
      </c>
      <c r="Q182" s="226">
        <f ca="1" t="shared" si="47"/>
        <v>2.51333333333333</v>
      </c>
      <c r="R182" s="269">
        <f ca="1" t="shared" si="16"/>
        <v>0.308059018017517</v>
      </c>
      <c r="S182" s="266">
        <f ca="1" t="shared" si="17"/>
        <v>28.9405689358065</v>
      </c>
      <c r="T182" s="226">
        <f ca="1">(1+OFFSET('玩法产出(新)'!$C$18,MATCH(X182,'玩法产出(新)'!$B$19:$B$25,0),1)*(1-V182)+OFFSET('玩法产出(新)'!$C$18,1+MATCH(X182,'玩法产出(新)'!$B$19:$B$25,0),1)*(V182))^AA182*(1+OFFSET('玩法产出(新)'!$C$18,MATCH(X182,'玩法产出(新)'!$B$19:$B$25,0),3)*(1-V182)+OFFSET('玩法产出(新)'!$C$18,1+MATCH(X182,'玩法产出(新)'!$B$19:$B$25,0),3)*(V182))^AB182*(1+OFFSET('玩法产出(新)'!$C$18,MATCH(X182,'玩法产出(新)'!$B$19:$B$25,0),4)*(1-V182)+OFFSET('玩法产出(新)'!$C$18,1+MATCH(X182,'玩法产出(新)'!$B$19:$B$25,0),4)*(V182))^AC182*(1+OFFSET('玩法产出(新)'!$C$18,MATCH(X182,'玩法产出(新)'!$B$19:$B$25,0),5)*(1+V182)+OFFSET('玩法产出(新)'!$C$18,1+MATCH(X182,'玩法产出(新)'!$B$19:$B$25,5),1)*(V182))^AD182*(1+OFFSET('玩法产出(新)'!$C$18,MATCH(X182,'玩法产出(新)'!$B$19:$B$25,0),6)*(1+V182)+OFFSET('玩法产出(新)'!$C$18,1+MATCH(X182,'玩法产出(新)'!$B$19:$B$25,0),6)*(V182))^AE182</f>
        <v>7.08570787728643</v>
      </c>
      <c r="U182" s="226">
        <f ca="1" t="shared" si="36"/>
        <v>0.171648772802028</v>
      </c>
      <c r="V182" s="226">
        <f ca="1">COUNTIF($X$124:$X182,X182)/(COUNTIF($X$124:$X$723,X182)+1)</f>
        <v>0.402061855670103</v>
      </c>
      <c r="W182" s="19">
        <v>30</v>
      </c>
      <c r="X182" s="19" t="str">
        <f ca="1" t="shared" si="18"/>
        <v>紫</v>
      </c>
      <c r="Y182" s="19">
        <f t="shared" si="45"/>
        <v>7060</v>
      </c>
      <c r="Z182" s="19">
        <f ca="1" t="shared" si="19"/>
        <v>1.66886597938144</v>
      </c>
      <c r="AA182" s="282">
        <f ca="1" t="shared" si="20"/>
        <v>22.4896677083333</v>
      </c>
      <c r="AB182" s="282">
        <f ca="1" t="shared" si="21"/>
        <v>5.72447916666667</v>
      </c>
      <c r="AC182" s="282">
        <f ca="1" t="shared" si="22"/>
        <v>1.36065</v>
      </c>
      <c r="AD182" s="282">
        <f ca="1" t="shared" si="23"/>
        <v>0.3401625</v>
      </c>
      <c r="AE182" s="282">
        <f ca="1" t="shared" si="24"/>
        <v>0.085040625</v>
      </c>
      <c r="AF182" s="19" t="str">
        <f t="shared" si="25"/>
        <v>红1</v>
      </c>
      <c r="AG182" s="19">
        <f>IFERROR(_xlfn.XLOOKUP(C182+1,[2]基因升级!$E$141:$E$500,[2]基因升级!$D$141:$D$500)-1,AG181)</f>
        <v>63</v>
      </c>
      <c r="AH182" s="19">
        <v>5</v>
      </c>
      <c r="AI182" s="19">
        <f t="shared" si="26"/>
        <v>6.94668959324004</v>
      </c>
      <c r="AJ182" s="19">
        <f t="shared" si="37"/>
        <v>0</v>
      </c>
      <c r="AK182" s="269">
        <v>1.6</v>
      </c>
      <c r="AQ182" s="19">
        <f t="shared" si="27"/>
        <v>1</v>
      </c>
      <c r="AR182" s="19">
        <f t="shared" si="28"/>
        <v>1</v>
      </c>
      <c r="AS182" s="19">
        <f t="shared" si="29"/>
        <v>1</v>
      </c>
      <c r="AT182" s="19">
        <f t="shared" si="30"/>
        <v>1</v>
      </c>
      <c r="AU182" s="19">
        <f t="shared" si="31"/>
        <v>1</v>
      </c>
    </row>
    <row r="183" s="232" customFormat="1" spans="1:52">
      <c r="A183" s="279">
        <f ca="1">SUM($N$125:N183)</f>
        <v>22.3724961940607</v>
      </c>
      <c r="C183" s="232">
        <v>60</v>
      </c>
      <c r="D183" s="86">
        <f ca="1" t="shared" si="38"/>
        <v>102.169673767439</v>
      </c>
      <c r="E183" s="251">
        <f ca="1" t="shared" si="15"/>
        <v>6.55367723394591</v>
      </c>
      <c r="F183" s="269">
        <f ca="1" t="shared" si="32"/>
        <v>11.0060617050008</v>
      </c>
      <c r="G183" s="286">
        <f ca="1" t="shared" si="43"/>
        <v>72.1301760314673</v>
      </c>
      <c r="H183" s="287">
        <f ca="1" t="shared" si="33"/>
        <v>6.38077144062083</v>
      </c>
      <c r="I183" s="285">
        <f ca="1">SUM($J$125:J183)/SUM($H$125:H183)</f>
        <v>0.639909338374808</v>
      </c>
      <c r="J183" s="288">
        <f t="shared" si="39"/>
        <v>0.270818275644785</v>
      </c>
      <c r="K183" s="232">
        <f t="shared" si="44"/>
        <v>6900</v>
      </c>
      <c r="L183" s="285">
        <f t="shared" si="34"/>
        <v>1.34499999999999</v>
      </c>
      <c r="M183" s="289">
        <f ca="1" t="shared" si="35"/>
        <v>6.27</v>
      </c>
      <c r="N183" s="290">
        <f ca="1" t="shared" si="40"/>
        <v>6.10995316497603</v>
      </c>
      <c r="O183" s="289">
        <f t="shared" si="48"/>
        <v>3.3</v>
      </c>
      <c r="P183" s="232">
        <f ca="1" t="shared" ref="P183:P246" si="49">IF(O183=O182,P182+OFFSET($H$75,MATCH(P182,$G$76:$G$84,1),0),10)</f>
        <v>10</v>
      </c>
      <c r="Q183" s="289">
        <f ca="1" t="shared" si="47"/>
        <v>1.9</v>
      </c>
      <c r="R183" s="285">
        <f ca="1" t="shared" si="16"/>
        <v>0.309899520497597</v>
      </c>
      <c r="S183" s="292">
        <f ca="1" t="shared" si="17"/>
        <v>29.1134747291316</v>
      </c>
      <c r="T183" s="226">
        <f ca="1">(1+OFFSET('玩法产出(新)'!$C$18,MATCH(X183,'玩法产出(新)'!$B$19:$B$25,0),1)*(1-V183)+OFFSET('玩法产出(新)'!$C$18,1+MATCH(X183,'玩法产出(新)'!$B$19:$B$25,0),1)*(V183))^AA183*(1+OFFSET('玩法产出(新)'!$C$18,MATCH(X183,'玩法产出(新)'!$B$19:$B$25,0),3)*(1-V183)+OFFSET('玩法产出(新)'!$C$18,1+MATCH(X183,'玩法产出(新)'!$B$19:$B$25,0),3)*(V183))^AB183*(1+OFFSET('玩法产出(新)'!$C$18,MATCH(X183,'玩法产出(新)'!$B$19:$B$25,0),4)*(1-V183)+OFFSET('玩法产出(新)'!$C$18,1+MATCH(X183,'玩法产出(新)'!$B$19:$B$25,0),4)*(V183))^AC183*(1+OFFSET('玩法产出(新)'!$C$18,MATCH(X183,'玩法产出(新)'!$B$19:$B$25,0),5)*(1+V183)+OFFSET('玩法产出(新)'!$C$18,1+MATCH(X183,'玩法产出(新)'!$B$19:$B$25,5),1)*(V183))^AD183*(1+OFFSET('玩法产出(新)'!$C$18,MATCH(X183,'玩法产出(新)'!$B$19:$B$25,0),6)*(1+V183)+OFFSET('玩法产出(新)'!$C$18,1+MATCH(X183,'玩法产出(新)'!$B$19:$B$25,0),6)*(V183))^AE183</f>
        <v>7.1690873023114</v>
      </c>
      <c r="U183" s="226">
        <f ca="1" t="shared" si="36"/>
        <v>0.172905793325087</v>
      </c>
      <c r="V183" s="226">
        <f ca="1">COUNTIF($X$124:$X183,X183)/(COUNTIF($X$124:$X$723,X183)+1)</f>
        <v>0.412371134020619</v>
      </c>
      <c r="W183" s="232">
        <v>30</v>
      </c>
      <c r="X183" s="232" t="str">
        <f ca="1" t="shared" si="18"/>
        <v>紫</v>
      </c>
      <c r="Y183" s="232">
        <f t="shared" si="45"/>
        <v>7160</v>
      </c>
      <c r="Z183" s="19">
        <f ca="1" t="shared" si="19"/>
        <v>1.67319587628866</v>
      </c>
      <c r="AA183" s="293">
        <f ca="1" t="shared" si="20"/>
        <v>22.38990625</v>
      </c>
      <c r="AB183" s="293">
        <f ca="1" t="shared" si="21"/>
        <v>5.796875</v>
      </c>
      <c r="AC183" s="293">
        <f ca="1" t="shared" si="22"/>
        <v>1.3815</v>
      </c>
      <c r="AD183" s="293">
        <f ca="1" t="shared" si="23"/>
        <v>0.345375</v>
      </c>
      <c r="AE183" s="293">
        <f ca="1" t="shared" si="24"/>
        <v>0.08634375</v>
      </c>
      <c r="AF183" s="232" t="str">
        <f t="shared" si="25"/>
        <v>红2</v>
      </c>
      <c r="AG183" s="232">
        <f>IFERROR(_xlfn.XLOOKUP(C183+1,[2]基因升级!$E$141:$E$500,[2]基因升级!$D$141:$D$500)-1,AG182)</f>
        <v>63</v>
      </c>
      <c r="AH183" s="232">
        <v>5</v>
      </c>
      <c r="AI183" s="232">
        <f t="shared" si="26"/>
        <v>6.94668959324004</v>
      </c>
      <c r="AJ183" s="19">
        <f t="shared" si="37"/>
        <v>0</v>
      </c>
      <c r="AK183" s="285">
        <v>1.6</v>
      </c>
      <c r="AL183" s="287">
        <v>1.5</v>
      </c>
      <c r="AQ183" s="19">
        <f t="shared" si="27"/>
        <v>1.10681660630838</v>
      </c>
      <c r="AR183" s="19">
        <f t="shared" si="28"/>
        <v>1</v>
      </c>
      <c r="AS183" s="19">
        <f t="shared" si="29"/>
        <v>1</v>
      </c>
      <c r="AT183" s="19">
        <f t="shared" si="30"/>
        <v>1</v>
      </c>
      <c r="AU183" s="19">
        <f t="shared" si="31"/>
        <v>1</v>
      </c>
      <c r="AV183" s="232">
        <f t="shared" ref="AV183:AV246" si="50">AL183-AL182</f>
        <v>1.5</v>
      </c>
      <c r="AW183" s="232">
        <f t="shared" ref="AW183:AW246" si="51">AM183-AM182</f>
        <v>0</v>
      </c>
      <c r="AX183" s="232">
        <f t="shared" ref="AX183:AX246" si="52">AN183-AN182</f>
        <v>0</v>
      </c>
      <c r="AY183" s="232">
        <f t="shared" ref="AY183:AY246" si="53">AO183-AO182</f>
        <v>0</v>
      </c>
      <c r="AZ183" s="232">
        <f t="shared" ref="AZ183:AZ246" si="54">AP183-AP182</f>
        <v>0</v>
      </c>
    </row>
    <row r="184" spans="1:52">
      <c r="A184" s="279">
        <f ca="1">SUM($N$125:N184)</f>
        <v>22.5272628071028</v>
      </c>
      <c r="C184" s="19">
        <v>61</v>
      </c>
      <c r="D184" s="86">
        <f ca="1" t="shared" si="38"/>
        <v>102.766109874773</v>
      </c>
      <c r="E184" s="251">
        <f ca="1" t="shared" si="15"/>
        <v>0.596436107333462</v>
      </c>
      <c r="F184" s="269">
        <f ca="1" t="shared" si="32"/>
        <v>121.643292617558</v>
      </c>
      <c r="G184" s="283">
        <f ca="1" t="shared" si="43"/>
        <v>72.5524519320417</v>
      </c>
      <c r="H184" s="279">
        <f ca="1" t="shared" si="33"/>
        <v>0.422275900574448</v>
      </c>
      <c r="I184" s="269">
        <f ca="1">SUM($J$125:J184)/SUM($H$125:H184)</f>
        <v>0.63986603064614</v>
      </c>
      <c r="J184" s="284">
        <f t="shared" si="39"/>
        <v>0.267509287532398</v>
      </c>
      <c r="K184" s="19">
        <f t="shared" si="44"/>
        <v>7000</v>
      </c>
      <c r="L184" s="269">
        <f t="shared" si="34"/>
        <v>1.34999999999999</v>
      </c>
      <c r="M184" s="226">
        <f ca="1" t="shared" si="35"/>
        <v>6.336</v>
      </c>
      <c r="N184" s="280">
        <f ca="1" t="shared" si="40"/>
        <v>0.15476661304206</v>
      </c>
      <c r="O184" s="226">
        <f t="shared" si="48"/>
        <v>3.3</v>
      </c>
      <c r="P184" s="19">
        <f ca="1" t="shared" si="49"/>
        <v>10.2</v>
      </c>
      <c r="Q184" s="226">
        <f ca="1" t="shared" si="47"/>
        <v>1.92</v>
      </c>
      <c r="R184" s="269">
        <f ca="1" t="shared" si="16"/>
        <v>0.311753375630539</v>
      </c>
      <c r="S184" s="266">
        <f ca="1" t="shared" si="17"/>
        <v>29.2876349358906</v>
      </c>
      <c r="T184" s="226">
        <f ca="1">(1+OFFSET('玩法产出(新)'!$C$18,MATCH(X184,'玩法产出(新)'!$B$19:$B$25,0),1)*(1-V184)+OFFSET('玩法产出(新)'!$C$18,1+MATCH(X184,'玩法产出(新)'!$B$19:$B$25,0),1)*(V184))^AA184*(1+OFFSET('玩法产出(新)'!$C$18,MATCH(X184,'玩法产出(新)'!$B$19:$B$25,0),3)*(1-V184)+OFFSET('玩法产出(新)'!$C$18,1+MATCH(X184,'玩法产出(新)'!$B$19:$B$25,0),3)*(V184))^AB184*(1+OFFSET('玩法产出(新)'!$C$18,MATCH(X184,'玩法产出(新)'!$B$19:$B$25,0),4)*(1-V184)+OFFSET('玩法产出(新)'!$C$18,1+MATCH(X184,'玩法产出(新)'!$B$19:$B$25,0),4)*(V184))^AC184*(1+OFFSET('玩法产出(新)'!$C$18,MATCH(X184,'玩法产出(新)'!$B$19:$B$25,0),5)*(1+V184)+OFFSET('玩法产出(新)'!$C$18,1+MATCH(X184,'玩法产出(新)'!$B$19:$B$25,5),1)*(V184))^AD184*(1+OFFSET('玩法产出(新)'!$C$18,MATCH(X184,'玩法产出(新)'!$B$19:$B$25,0),6)*(1+V184)+OFFSET('玩法产出(新)'!$C$18,1+MATCH(X184,'玩法产出(新)'!$B$19:$B$25,0),6)*(V184))^AE184</f>
        <v>7.2540635155486</v>
      </c>
      <c r="U184" s="226">
        <f ca="1" t="shared" si="36"/>
        <v>0.174160206759003</v>
      </c>
      <c r="V184" s="226">
        <f ca="1">COUNTIF($X$124:$X184,X184)/(COUNTIF($X$124:$X$723,X184)+1)</f>
        <v>0.422680412371134</v>
      </c>
      <c r="W184" s="19">
        <v>30</v>
      </c>
      <c r="X184" s="19" t="str">
        <f ca="1" t="shared" si="18"/>
        <v>紫</v>
      </c>
      <c r="Y184" s="19">
        <f t="shared" si="45"/>
        <v>7260</v>
      </c>
      <c r="Z184" s="19">
        <f ca="1" t="shared" si="19"/>
        <v>1.67752577319588</v>
      </c>
      <c r="AA184" s="282">
        <f ca="1" t="shared" si="20"/>
        <v>22.2901447916667</v>
      </c>
      <c r="AB184" s="282">
        <f ca="1" t="shared" si="21"/>
        <v>5.86927083333333</v>
      </c>
      <c r="AC184" s="282">
        <f ca="1" t="shared" si="22"/>
        <v>1.40235</v>
      </c>
      <c r="AD184" s="282">
        <f ca="1" t="shared" si="23"/>
        <v>0.3505875</v>
      </c>
      <c r="AE184" s="282">
        <f ca="1" t="shared" si="24"/>
        <v>0.087646875</v>
      </c>
      <c r="AF184" s="19" t="str">
        <f t="shared" si="25"/>
        <v>红2</v>
      </c>
      <c r="AG184" s="19">
        <f>IFERROR(_xlfn.XLOOKUP(C184+1,[2]基因升级!$E$141:$E$500,[2]基因升级!$D$141:$D$500)-1,AG183)</f>
        <v>63</v>
      </c>
      <c r="AH184" s="19">
        <v>5</v>
      </c>
      <c r="AI184" s="19">
        <f t="shared" si="26"/>
        <v>6.94668959324004</v>
      </c>
      <c r="AJ184" s="19">
        <f t="shared" si="37"/>
        <v>0</v>
      </c>
      <c r="AK184" s="269">
        <v>1.6</v>
      </c>
      <c r="AL184" s="287">
        <f>AL183+0.4</f>
        <v>1.9</v>
      </c>
      <c r="AQ184" s="19">
        <f t="shared" si="27"/>
        <v>1.13717990733817</v>
      </c>
      <c r="AR184" s="19">
        <f t="shared" si="28"/>
        <v>1</v>
      </c>
      <c r="AS184" s="19">
        <f t="shared" si="29"/>
        <v>1</v>
      </c>
      <c r="AT184" s="19">
        <f t="shared" si="30"/>
        <v>1</v>
      </c>
      <c r="AU184" s="19">
        <f t="shared" si="31"/>
        <v>1</v>
      </c>
      <c r="AV184" s="232">
        <f t="shared" si="50"/>
        <v>0.4</v>
      </c>
      <c r="AW184" s="232">
        <f t="shared" si="51"/>
        <v>0</v>
      </c>
      <c r="AX184" s="232">
        <f t="shared" si="52"/>
        <v>0</v>
      </c>
      <c r="AY184" s="232">
        <f t="shared" si="53"/>
        <v>0</v>
      </c>
      <c r="AZ184" s="232">
        <f t="shared" si="54"/>
        <v>0</v>
      </c>
    </row>
    <row r="185" spans="1:52">
      <c r="A185" s="279">
        <f ca="1">SUM($N$125:N185)</f>
        <v>22.6804255921909</v>
      </c>
      <c r="C185" s="19">
        <v>62</v>
      </c>
      <c r="D185" s="86">
        <f ca="1" t="shared" si="38"/>
        <v>103.358974575351</v>
      </c>
      <c r="E185" s="251">
        <f ca="1" t="shared" si="15"/>
        <v>0.592864700578041</v>
      </c>
      <c r="F185" s="269">
        <f ca="1" t="shared" si="32"/>
        <v>123.080197788161</v>
      </c>
      <c r="G185" s="283">
        <f ca="1" t="shared" si="43"/>
        <v>72.9699046087644</v>
      </c>
      <c r="H185" s="279">
        <f ca="1" t="shared" si="33"/>
        <v>0.417452676722633</v>
      </c>
      <c r="I185" s="269">
        <f ca="1">SUM($J$125:J185)/SUM($H$125:H185)</f>
        <v>0.639821185483674</v>
      </c>
      <c r="J185" s="284">
        <f t="shared" si="39"/>
        <v>0.264289891634519</v>
      </c>
      <c r="K185" s="19">
        <f t="shared" si="44"/>
        <v>7100</v>
      </c>
      <c r="L185" s="269">
        <f t="shared" si="34"/>
        <v>1.35499999999999</v>
      </c>
      <c r="M185" s="226">
        <f ca="1" t="shared" si="35"/>
        <v>6.402</v>
      </c>
      <c r="N185" s="280">
        <f ca="1" t="shared" si="40"/>
        <v>0.153162785088103</v>
      </c>
      <c r="O185" s="226">
        <f t="shared" si="48"/>
        <v>3.3</v>
      </c>
      <c r="P185" s="19">
        <f ca="1" t="shared" si="49"/>
        <v>10.4</v>
      </c>
      <c r="Q185" s="226">
        <f ca="1" t="shared" si="47"/>
        <v>1.94</v>
      </c>
      <c r="R185" s="269">
        <f ca="1" t="shared" si="16"/>
        <v>0.313620555779527</v>
      </c>
      <c r="S185" s="266">
        <f ca="1" t="shared" si="17"/>
        <v>29.463046959746</v>
      </c>
      <c r="T185" s="226">
        <f ca="1">(1+OFFSET('玩法产出(新)'!$C$18,MATCH(X185,'玩法产出(新)'!$B$19:$B$25,0),1)*(1-V185)+OFFSET('玩法产出(新)'!$C$18,1+MATCH(X185,'玩法产出(新)'!$B$19:$B$25,0),1)*(V185))^AA185*(1+OFFSET('玩法产出(新)'!$C$18,MATCH(X185,'玩法产出(新)'!$B$19:$B$25,0),3)*(1-V185)+OFFSET('玩法产出(新)'!$C$18,1+MATCH(X185,'玩法产出(新)'!$B$19:$B$25,0),3)*(V185))^AB185*(1+OFFSET('玩法产出(新)'!$C$18,MATCH(X185,'玩法产出(新)'!$B$19:$B$25,0),4)*(1-V185)+OFFSET('玩法产出(新)'!$C$18,1+MATCH(X185,'玩法产出(新)'!$B$19:$B$25,0),4)*(V185))^AC185*(1+OFFSET('玩法产出(新)'!$C$18,MATCH(X185,'玩法产出(新)'!$B$19:$B$25,0),5)*(1+V185)+OFFSET('玩法产出(新)'!$C$18,1+MATCH(X185,'玩法产出(新)'!$B$19:$B$25,5),1)*(V185))^AD185*(1+OFFSET('玩法产出(新)'!$C$18,MATCH(X185,'玩法产出(新)'!$B$19:$B$25,0),6)*(1+V185)+OFFSET('玩法产出(新)'!$C$18,1+MATCH(X185,'玩法产出(新)'!$B$19:$B$25,0),6)*(V185))^AE185</f>
        <v>7.34066866474991</v>
      </c>
      <c r="U185" s="226">
        <f ca="1" t="shared" si="36"/>
        <v>0.175412023855419</v>
      </c>
      <c r="V185" s="226">
        <f ca="1">COUNTIF($X$124:$X185,X185)/(COUNTIF($X$124:$X$723,X185)+1)</f>
        <v>0.43298969072165</v>
      </c>
      <c r="W185" s="19">
        <v>30</v>
      </c>
      <c r="X185" s="19" t="str">
        <f ca="1" t="shared" si="18"/>
        <v>紫</v>
      </c>
      <c r="Y185" s="19">
        <f t="shared" si="45"/>
        <v>7360</v>
      </c>
      <c r="Z185" s="19">
        <f ca="1" t="shared" si="19"/>
        <v>1.68185567010309</v>
      </c>
      <c r="AA185" s="282">
        <f ca="1" t="shared" si="20"/>
        <v>22.1903833333333</v>
      </c>
      <c r="AB185" s="282">
        <f ca="1" t="shared" si="21"/>
        <v>5.94166666666667</v>
      </c>
      <c r="AC185" s="282">
        <f ca="1" t="shared" si="22"/>
        <v>1.4232</v>
      </c>
      <c r="AD185" s="282">
        <f ca="1" t="shared" si="23"/>
        <v>0.3558</v>
      </c>
      <c r="AE185" s="282">
        <f ca="1" t="shared" si="24"/>
        <v>0.08895</v>
      </c>
      <c r="AF185" s="19" t="str">
        <f t="shared" si="25"/>
        <v>红2</v>
      </c>
      <c r="AG185" s="19">
        <f>IFERROR(_xlfn.XLOOKUP(C185+1,[2]基因升级!$E$141:$E$500,[2]基因升级!$D$141:$D$500)-1,AG184)</f>
        <v>63</v>
      </c>
      <c r="AH185" s="19">
        <v>5</v>
      </c>
      <c r="AI185" s="19">
        <f t="shared" si="26"/>
        <v>6.94668959324004</v>
      </c>
      <c r="AJ185" s="19">
        <f t="shared" si="37"/>
        <v>0</v>
      </c>
      <c r="AK185" s="269">
        <v>1.6</v>
      </c>
      <c r="AL185" s="287">
        <f>AL184+0.4</f>
        <v>2.3</v>
      </c>
      <c r="AQ185" s="19">
        <f t="shared" si="27"/>
        <v>1.16837616483443</v>
      </c>
      <c r="AR185" s="19">
        <f t="shared" si="28"/>
        <v>1</v>
      </c>
      <c r="AS185" s="19">
        <f t="shared" si="29"/>
        <v>1</v>
      </c>
      <c r="AT185" s="19">
        <f t="shared" si="30"/>
        <v>1</v>
      </c>
      <c r="AU185" s="19">
        <f t="shared" si="31"/>
        <v>1</v>
      </c>
      <c r="AV185" s="232">
        <f t="shared" si="50"/>
        <v>0.4</v>
      </c>
      <c r="AW185" s="232">
        <f t="shared" si="51"/>
        <v>0</v>
      </c>
      <c r="AX185" s="232">
        <f t="shared" si="52"/>
        <v>0</v>
      </c>
      <c r="AY185" s="232">
        <f t="shared" si="53"/>
        <v>0</v>
      </c>
      <c r="AZ185" s="232">
        <f t="shared" si="54"/>
        <v>0</v>
      </c>
    </row>
    <row r="186" spans="1:52">
      <c r="A186" s="279">
        <f ca="1">SUM($N$125:N186)</f>
        <v>22.8320174492343</v>
      </c>
      <c r="C186" s="19">
        <v>63</v>
      </c>
      <c r="D186" s="86">
        <f ca="1" t="shared" si="38"/>
        <v>103.948384062959</v>
      </c>
      <c r="E186" s="251">
        <f ca="1" t="shared" si="15"/>
        <v>0.589409487608006</v>
      </c>
      <c r="F186" s="269">
        <f ca="1" t="shared" si="32"/>
        <v>124.501987809672</v>
      </c>
      <c r="G186" s="283">
        <f ca="1" t="shared" si="43"/>
        <v>73.3826528410769</v>
      </c>
      <c r="H186" s="279">
        <f ca="1" t="shared" si="33"/>
        <v>0.412748232312566</v>
      </c>
      <c r="I186" s="269">
        <f ca="1">SUM($J$125:J186)/SUM($H$125:H186)</f>
        <v>0.639774979023326</v>
      </c>
      <c r="J186" s="284">
        <f t="shared" si="39"/>
        <v>0.261156375269231</v>
      </c>
      <c r="K186" s="19">
        <f t="shared" si="44"/>
        <v>7200</v>
      </c>
      <c r="L186" s="269">
        <f t="shared" si="34"/>
        <v>1.35999999999999</v>
      </c>
      <c r="M186" s="226">
        <f ca="1" t="shared" si="35"/>
        <v>6.468</v>
      </c>
      <c r="N186" s="280">
        <f ca="1" t="shared" si="40"/>
        <v>0.151591857043357</v>
      </c>
      <c r="O186" s="226">
        <f t="shared" si="48"/>
        <v>3.3</v>
      </c>
      <c r="P186" s="19">
        <f ca="1" t="shared" si="49"/>
        <v>10.6</v>
      </c>
      <c r="Q186" s="226">
        <f ca="1" t="shared" si="47"/>
        <v>1.96</v>
      </c>
      <c r="R186" s="269">
        <f ca="1" t="shared" si="16"/>
        <v>0.315501033421441</v>
      </c>
      <c r="S186" s="266">
        <f ca="1" t="shared" si="17"/>
        <v>29.6397082150414</v>
      </c>
      <c r="T186" s="226">
        <f ca="1">(1+OFFSET('玩法产出(新)'!$C$18,MATCH(X186,'玩法产出(新)'!$B$19:$B$25,0),1)*(1-V186)+OFFSET('玩法产出(新)'!$C$18,1+MATCH(X186,'玩法产出(新)'!$B$19:$B$25,0),1)*(V186))^AA186*(1+OFFSET('玩法产出(新)'!$C$18,MATCH(X186,'玩法产出(新)'!$B$19:$B$25,0),3)*(1-V186)+OFFSET('玩法产出(新)'!$C$18,1+MATCH(X186,'玩法产出(新)'!$B$19:$B$25,0),3)*(V186))^AB186*(1+OFFSET('玩法产出(新)'!$C$18,MATCH(X186,'玩法产出(新)'!$B$19:$B$25,0),4)*(1-V186)+OFFSET('玩法产出(新)'!$C$18,1+MATCH(X186,'玩法产出(新)'!$B$19:$B$25,0),4)*(V186))^AC186*(1+OFFSET('玩法产出(新)'!$C$18,MATCH(X186,'玩法产出(新)'!$B$19:$B$25,0),5)*(1+V186)+OFFSET('玩法产出(新)'!$C$18,1+MATCH(X186,'玩法产出(新)'!$B$19:$B$25,5),1)*(V186))^AD186*(1+OFFSET('玩法产出(新)'!$C$18,MATCH(X186,'玩法产出(新)'!$B$19:$B$25,0),6)*(1+V186)+OFFSET('玩法产出(新)'!$C$18,1+MATCH(X186,'玩法产出(新)'!$B$19:$B$25,0),6)*(V186))^AE186</f>
        <v>7.42893565635951</v>
      </c>
      <c r="U186" s="226">
        <f ca="1" t="shared" si="36"/>
        <v>0.176661255295419</v>
      </c>
      <c r="V186" s="226">
        <f ca="1">COUNTIF($X$124:$X186,X186)/(COUNTIF($X$124:$X$723,X186)+1)</f>
        <v>0.443298969072165</v>
      </c>
      <c r="W186" s="19">
        <v>30</v>
      </c>
      <c r="X186" s="19" t="str">
        <f ca="1" t="shared" si="18"/>
        <v>紫</v>
      </c>
      <c r="Y186" s="19">
        <f t="shared" si="45"/>
        <v>7460</v>
      </c>
      <c r="Z186" s="19">
        <f ca="1" t="shared" si="19"/>
        <v>1.68618556701031</v>
      </c>
      <c r="AA186" s="282">
        <f ca="1" t="shared" si="20"/>
        <v>22.090621875</v>
      </c>
      <c r="AB186" s="282">
        <f ca="1" t="shared" si="21"/>
        <v>6.0140625</v>
      </c>
      <c r="AC186" s="282">
        <f ca="1" t="shared" si="22"/>
        <v>1.44405</v>
      </c>
      <c r="AD186" s="282">
        <f ca="1" t="shared" si="23"/>
        <v>0.3610125</v>
      </c>
      <c r="AE186" s="282">
        <f ca="1" t="shared" si="24"/>
        <v>0.090253125</v>
      </c>
      <c r="AF186" s="19" t="str">
        <f t="shared" si="25"/>
        <v>红2</v>
      </c>
      <c r="AG186" s="19">
        <f>IFERROR(_xlfn.XLOOKUP(C186+1,[2]基因升级!$E$141:$E$500,[2]基因升级!$D$141:$D$500)-1,AG185)</f>
        <v>64</v>
      </c>
      <c r="AH186" s="19">
        <v>5</v>
      </c>
      <c r="AI186" s="19">
        <f t="shared" si="26"/>
        <v>6.94668959324004</v>
      </c>
      <c r="AJ186" s="19">
        <f t="shared" si="37"/>
        <v>0</v>
      </c>
      <c r="AK186" s="269">
        <v>1.6</v>
      </c>
      <c r="AL186" s="287">
        <f>AL185+0.3</f>
        <v>2.6</v>
      </c>
      <c r="AQ186" s="19">
        <f t="shared" si="27"/>
        <v>1.19233370823059</v>
      </c>
      <c r="AR186" s="19">
        <f t="shared" si="28"/>
        <v>1</v>
      </c>
      <c r="AS186" s="19">
        <f t="shared" si="29"/>
        <v>1</v>
      </c>
      <c r="AT186" s="19">
        <f t="shared" si="30"/>
        <v>1</v>
      </c>
      <c r="AU186" s="19">
        <f t="shared" si="31"/>
        <v>1</v>
      </c>
      <c r="AV186" s="232">
        <f t="shared" si="50"/>
        <v>0.3</v>
      </c>
      <c r="AW186" s="232">
        <f t="shared" si="51"/>
        <v>0</v>
      </c>
      <c r="AX186" s="232">
        <f t="shared" si="52"/>
        <v>0</v>
      </c>
      <c r="AY186" s="232">
        <f t="shared" si="53"/>
        <v>0</v>
      </c>
      <c r="AZ186" s="232">
        <f t="shared" si="54"/>
        <v>0</v>
      </c>
    </row>
    <row r="187" spans="1:52">
      <c r="A187" s="279">
        <f ca="1">SUM($N$125:N187)</f>
        <v>22.9820702760794</v>
      </c>
      <c r="C187" s="19">
        <v>64</v>
      </c>
      <c r="D187" s="86">
        <f ca="1" t="shared" si="38"/>
        <v>104.534450031427</v>
      </c>
      <c r="E187" s="251">
        <f ca="1" t="shared" si="15"/>
        <v>0.586065968468415</v>
      </c>
      <c r="F187" s="269">
        <f ca="1" t="shared" si="32"/>
        <v>125.908711421506</v>
      </c>
      <c r="G187" s="283">
        <f ca="1" t="shared" si="43"/>
        <v>73.7908108978552</v>
      </c>
      <c r="H187" s="279">
        <f ca="1" t="shared" si="33"/>
        <v>0.408158056778277</v>
      </c>
      <c r="I187" s="269">
        <f ca="1">SUM($J$125:J187)/SUM($H$125:H187)</f>
        <v>0.639727572786631</v>
      </c>
      <c r="J187" s="284">
        <f t="shared" si="39"/>
        <v>0.258105229933115</v>
      </c>
      <c r="K187" s="19">
        <f t="shared" si="44"/>
        <v>7300</v>
      </c>
      <c r="L187" s="269">
        <f t="shared" si="34"/>
        <v>1.36499999999999</v>
      </c>
      <c r="M187" s="226">
        <f ca="1" t="shared" si="35"/>
        <v>6.534</v>
      </c>
      <c r="N187" s="280">
        <f ca="1" t="shared" si="40"/>
        <v>0.150052826845144</v>
      </c>
      <c r="O187" s="226">
        <f t="shared" si="48"/>
        <v>3.3</v>
      </c>
      <c r="P187" s="19">
        <f ca="1" t="shared" si="49"/>
        <v>10.8</v>
      </c>
      <c r="Q187" s="226">
        <f ca="1" t="shared" si="47"/>
        <v>1.98</v>
      </c>
      <c r="R187" s="269">
        <f ca="1" t="shared" si="16"/>
        <v>0.31739478114611</v>
      </c>
      <c r="S187" s="266">
        <f ca="1" t="shared" si="17"/>
        <v>29.8176161267316</v>
      </c>
      <c r="T187" s="226">
        <f ca="1">(1+OFFSET('玩法产出(新)'!$C$18,MATCH(X187,'玩法产出(新)'!$B$19:$B$25,0),1)*(1-V187)+OFFSET('玩法产出(新)'!$C$18,1+MATCH(X187,'玩法产出(新)'!$B$19:$B$25,0),1)*(V187))^AA187*(1+OFFSET('玩法产出(新)'!$C$18,MATCH(X187,'玩法产出(新)'!$B$19:$B$25,0),3)*(1-V187)+OFFSET('玩法产出(新)'!$C$18,1+MATCH(X187,'玩法产出(新)'!$B$19:$B$25,0),3)*(V187))^AB187*(1+OFFSET('玩法产出(新)'!$C$18,MATCH(X187,'玩法产出(新)'!$B$19:$B$25,0),4)*(1-V187)+OFFSET('玩法产出(新)'!$C$18,1+MATCH(X187,'玩法产出(新)'!$B$19:$B$25,0),4)*(V187))^AC187*(1+OFFSET('玩法产出(新)'!$C$18,MATCH(X187,'玩法产出(新)'!$B$19:$B$25,0),5)*(1+V187)+OFFSET('玩法产出(新)'!$C$18,1+MATCH(X187,'玩法产出(新)'!$B$19:$B$25,5),1)*(V187))^AD187*(1+OFFSET('玩法产出(新)'!$C$18,MATCH(X187,'玩法产出(新)'!$B$19:$B$25,0),6)*(1+V187)+OFFSET('玩法产出(新)'!$C$18,1+MATCH(X187,'玩法产出(新)'!$B$19:$B$25,0),6)*(V187))^AE187</f>
        <v>7.51889817425451</v>
      </c>
      <c r="U187" s="226">
        <f ca="1" t="shared" si="36"/>
        <v>0.177907911690156</v>
      </c>
      <c r="V187" s="226">
        <f ca="1">COUNTIF($X$124:$X187,X187)/(COUNTIF($X$124:$X$723,X187)+1)</f>
        <v>0.45360824742268</v>
      </c>
      <c r="W187" s="19">
        <v>30</v>
      </c>
      <c r="X187" s="19" t="str">
        <f ca="1" t="shared" si="18"/>
        <v>紫</v>
      </c>
      <c r="Y187" s="19">
        <f t="shared" si="45"/>
        <v>7560</v>
      </c>
      <c r="Z187" s="19">
        <f ca="1" t="shared" si="19"/>
        <v>1.69051546391753</v>
      </c>
      <c r="AA187" s="282">
        <f ca="1" t="shared" si="20"/>
        <v>21.9908604166667</v>
      </c>
      <c r="AB187" s="282">
        <f ca="1" t="shared" si="21"/>
        <v>6.08645833333333</v>
      </c>
      <c r="AC187" s="282">
        <f ca="1" t="shared" si="22"/>
        <v>1.4649</v>
      </c>
      <c r="AD187" s="282">
        <f ca="1" t="shared" si="23"/>
        <v>0.366225</v>
      </c>
      <c r="AE187" s="282">
        <f ca="1" t="shared" si="24"/>
        <v>0.09155625</v>
      </c>
      <c r="AF187" s="19" t="str">
        <f t="shared" si="25"/>
        <v>红2</v>
      </c>
      <c r="AG187" s="19">
        <f>IFERROR(_xlfn.XLOOKUP(C187+1,[2]基因升级!$E$141:$E$500,[2]基因升级!$D$141:$D$500)-1,AG186)</f>
        <v>64</v>
      </c>
      <c r="AH187" s="19">
        <v>5</v>
      </c>
      <c r="AI187" s="19">
        <f t="shared" si="26"/>
        <v>6.94668959324004</v>
      </c>
      <c r="AJ187" s="19">
        <f t="shared" si="37"/>
        <v>0</v>
      </c>
      <c r="AK187" s="269">
        <v>1.6</v>
      </c>
      <c r="AL187" s="287">
        <f>AL186+0.3</f>
        <v>2.9</v>
      </c>
      <c r="AQ187" s="19">
        <f t="shared" si="27"/>
        <v>1.21678250085184</v>
      </c>
      <c r="AR187" s="19">
        <f t="shared" si="28"/>
        <v>1</v>
      </c>
      <c r="AS187" s="19">
        <f t="shared" si="29"/>
        <v>1</v>
      </c>
      <c r="AT187" s="19">
        <f t="shared" si="30"/>
        <v>1</v>
      </c>
      <c r="AU187" s="19">
        <f t="shared" si="31"/>
        <v>1</v>
      </c>
      <c r="AV187" s="232">
        <f t="shared" si="50"/>
        <v>0.3</v>
      </c>
      <c r="AW187" s="232">
        <f t="shared" si="51"/>
        <v>0</v>
      </c>
      <c r="AX187" s="232">
        <f t="shared" si="52"/>
        <v>0</v>
      </c>
      <c r="AY187" s="232">
        <f t="shared" si="53"/>
        <v>0</v>
      </c>
      <c r="AZ187" s="232">
        <f t="shared" si="54"/>
        <v>0</v>
      </c>
    </row>
    <row r="188" spans="1:52">
      <c r="A188" s="279">
        <f ca="1">SUM($N$125:N188)</f>
        <v>23.1306150087959</v>
      </c>
      <c r="C188" s="19">
        <v>65</v>
      </c>
      <c r="D188" s="86">
        <f ca="1" t="shared" si="38"/>
        <v>105.117279905148</v>
      </c>
      <c r="E188" s="251">
        <f ca="1" t="shared" ref="E188:E251" si="55">J188+N188+U188+AJ188</f>
        <v>0.582829873720477</v>
      </c>
      <c r="F188" s="269">
        <f ca="1" t="shared" si="32"/>
        <v>127.300421809843</v>
      </c>
      <c r="G188" s="283">
        <f ca="1" t="shared" si="43"/>
        <v>74.1944887679942</v>
      </c>
      <c r="H188" s="279">
        <f ca="1" t="shared" si="33"/>
        <v>0.403677870138964</v>
      </c>
      <c r="I188" s="269">
        <f ca="1">SUM($J$125:J188)/SUM($H$125:H188)</f>
        <v>0.639679114940967</v>
      </c>
      <c r="J188" s="284">
        <f t="shared" si="39"/>
        <v>0.255133137422483</v>
      </c>
      <c r="K188" s="19">
        <f t="shared" si="44"/>
        <v>7400</v>
      </c>
      <c r="L188" s="269">
        <f t="shared" si="34"/>
        <v>1.36999999999999</v>
      </c>
      <c r="M188" s="226">
        <f ca="1" t="shared" si="35"/>
        <v>6.6</v>
      </c>
      <c r="N188" s="280">
        <f ca="1" t="shared" si="40"/>
        <v>0.148544732716484</v>
      </c>
      <c r="O188" s="226">
        <f t="shared" si="48"/>
        <v>3.3</v>
      </c>
      <c r="P188" s="19">
        <f ca="1" t="shared" si="49"/>
        <v>11</v>
      </c>
      <c r="Q188" s="226">
        <f ca="1" t="shared" si="47"/>
        <v>2</v>
      </c>
      <c r="R188" s="269">
        <f ca="1" t="shared" ref="R188:R251" si="56">S188/$E$115</f>
        <v>0.319301771655578</v>
      </c>
      <c r="S188" s="266">
        <f ca="1" t="shared" ref="S188:S251" si="57">LOG(T188,1.07)</f>
        <v>29.9967681303131</v>
      </c>
      <c r="T188" s="226">
        <f ca="1">(1+OFFSET('玩法产出(新)'!$C$18,MATCH(X188,'玩法产出(新)'!$B$19:$B$25,0),1)*(1-V188)+OFFSET('玩法产出(新)'!$C$18,1+MATCH(X188,'玩法产出(新)'!$B$19:$B$25,0),1)*(V188))^AA188*(1+OFFSET('玩法产出(新)'!$C$18,MATCH(X188,'玩法产出(新)'!$B$19:$B$25,0),3)*(1-V188)+OFFSET('玩法产出(新)'!$C$18,1+MATCH(X188,'玩法产出(新)'!$B$19:$B$25,0),3)*(V188))^AB188*(1+OFFSET('玩法产出(新)'!$C$18,MATCH(X188,'玩法产出(新)'!$B$19:$B$25,0),4)*(1-V188)+OFFSET('玩法产出(新)'!$C$18,1+MATCH(X188,'玩法产出(新)'!$B$19:$B$25,0),4)*(V188))^AC188*(1+OFFSET('玩法产出(新)'!$C$18,MATCH(X188,'玩法产出(新)'!$B$19:$B$25,0),5)*(1+V188)+OFFSET('玩法产出(新)'!$C$18,1+MATCH(X188,'玩法产出(新)'!$B$19:$B$25,5),1)*(V188))^AD188*(1+OFFSET('玩法产出(新)'!$C$18,MATCH(X188,'玩法产出(新)'!$B$19:$B$25,0),6)*(1+V188)+OFFSET('玩法产出(新)'!$C$18,1+MATCH(X188,'玩法产出(新)'!$B$19:$B$25,0),6)*(V188))^AE188</f>
        <v>7.61059069899234</v>
      </c>
      <c r="U188" s="226">
        <f ca="1" t="shared" si="36"/>
        <v>0.179152003581509</v>
      </c>
      <c r="V188" s="226">
        <f ca="1">COUNTIF($X$124:$X188,X188)/(COUNTIF($X$124:$X$723,X188)+1)</f>
        <v>0.463917525773196</v>
      </c>
      <c r="W188" s="19">
        <v>30</v>
      </c>
      <c r="X188" s="19" t="str">
        <f ca="1" t="shared" ref="X188:X239" si="58">OFFSET($L$111,MATCH(Y188*0.6/W188,$M$112:$M$118,1),0)</f>
        <v>紫</v>
      </c>
      <c r="Y188" s="19">
        <f t="shared" si="45"/>
        <v>7660</v>
      </c>
      <c r="Z188" s="19">
        <f ca="1" t="shared" ref="Z188:Z251" si="59">(_xlfn.XLOOKUP(X188,$W$110:$W$115,$X$110:$X$115)+V188*_xlfn.XLOOKUP(X188,$W$110:$W$115,$Y$110:$Y$115))*MIN(AA188/2,6)</f>
        <v>1.69484536082474</v>
      </c>
      <c r="AA188" s="282">
        <f ca="1" t="shared" ref="AA188:AA251" si="60">MAX(W188-SUM(AB188:AE188),0)</f>
        <v>21.8910989583333</v>
      </c>
      <c r="AB188" s="282">
        <f ca="1" t="shared" ref="AB188:AB251" si="61">MIN(1+($Y188*$P$116+120*$C188)/OFFSET($G$101,MATCH(AB$123,$AB$123:$AE$123),0),18)</f>
        <v>6.15885416666667</v>
      </c>
      <c r="AC188" s="282">
        <f ca="1" t="shared" ref="AC188:AC251" si="62">MIN(($Y188*$P$116+120*$C188)/OFFSET($G$101,MATCH(AC$123,$AB$123:$AE$123),0),12)</f>
        <v>1.48575</v>
      </c>
      <c r="AD188" s="282">
        <f ca="1" t="shared" ref="AD188:AD251" si="63">IF(MATCH($X188,$L$112:$L$118,0)&gt;=4,($Y188*$P$116+120*$C188)/OFFSET($G$101,MATCH(AD$123,$AB$123:$AE$123),0),0)</f>
        <v>0.3714375</v>
      </c>
      <c r="AE188" s="282">
        <f ca="1" t="shared" ref="AE188:AE251" si="64">IF(MATCH($X188,$L$112:$L$118,0)&gt;=4,($Y188*$P$116+120*$C188)/OFFSET($G$101,MATCH(AE$123,$AB$123:$AE$123),0),0)</f>
        <v>0.092859375</v>
      </c>
      <c r="AF188" s="19" t="str">
        <f t="shared" ref="AF188:AF251" si="65">_xlfn.XLOOKUP(O188,$D$77:$D$95,$F$77:$F$95)</f>
        <v>红2</v>
      </c>
      <c r="AG188" s="19">
        <f>IFERROR(_xlfn.XLOOKUP(C188+1,[2]基因升级!$E$141:$E$500,[2]基因升级!$D$141:$D$500)-1,AG187)</f>
        <v>64</v>
      </c>
      <c r="AH188" s="19">
        <v>5</v>
      </c>
      <c r="AI188" s="19">
        <f t="shared" ref="AI188:AI251" si="66">LOG(AK188,1.07)</f>
        <v>6.94668959324004</v>
      </c>
      <c r="AJ188" s="19">
        <f t="shared" si="37"/>
        <v>0</v>
      </c>
      <c r="AK188" s="269">
        <v>1.6</v>
      </c>
      <c r="AL188" s="287">
        <f>AL187+0.3</f>
        <v>3.2</v>
      </c>
      <c r="AQ188" s="19">
        <f t="shared" ref="AQ188:AQ251" si="67">1.07^AL188</f>
        <v>1.24173261575938</v>
      </c>
      <c r="AR188" s="19">
        <f t="shared" ref="AR188:AR251" si="68">1.07^AM188</f>
        <v>1</v>
      </c>
      <c r="AS188" s="19">
        <f t="shared" ref="AS188:AS251" si="69">1.07^AN188</f>
        <v>1</v>
      </c>
      <c r="AT188" s="19">
        <f t="shared" ref="AT188:AT251" si="70">1.07^AO188</f>
        <v>1</v>
      </c>
      <c r="AU188" s="19">
        <f t="shared" ref="AU188:AU251" si="71">1.07^AP188</f>
        <v>1</v>
      </c>
      <c r="AV188" s="232">
        <f t="shared" si="50"/>
        <v>0.3</v>
      </c>
      <c r="AW188" s="232">
        <f t="shared" si="51"/>
        <v>0</v>
      </c>
      <c r="AX188" s="232">
        <f t="shared" si="52"/>
        <v>0</v>
      </c>
      <c r="AY188" s="232">
        <f t="shared" si="53"/>
        <v>0</v>
      </c>
      <c r="AZ188" s="232">
        <f t="shared" si="54"/>
        <v>0</v>
      </c>
    </row>
    <row r="189" spans="1:52">
      <c r="A189" s="279">
        <f ca="1">SUM($N$125:N189)</f>
        <v>23.2776816599575</v>
      </c>
      <c r="C189" s="19">
        <v>66</v>
      </c>
      <c r="D189" s="86">
        <f ca="1" t="shared" si="38"/>
        <v>105.696977054824</v>
      </c>
      <c r="E189" s="251">
        <f ca="1" t="shared" si="55"/>
        <v>0.57969714967646</v>
      </c>
      <c r="F189" s="269">
        <f ca="1" t="shared" ref="F189:F252" si="72">G189/E189</f>
        <v>128.677176380564</v>
      </c>
      <c r="G189" s="283">
        <f ca="1" t="shared" ref="G189:G252" si="73">LOG((K189*O189*L189*Q189)/($K$124*$O$124*$L$124*$Q$124),1.07)+$G$124</f>
        <v>74.5937923762279</v>
      </c>
      <c r="H189" s="279">
        <f ca="1" t="shared" ref="H189:H252" si="74">G189-G188</f>
        <v>0.399303608233708</v>
      </c>
      <c r="I189" s="269">
        <f ca="1">SUM($J$125:J189)/SUM($H$125:H189)</f>
        <v>0.639629741440537</v>
      </c>
      <c r="J189" s="284">
        <f t="shared" si="39"/>
        <v>0.252236957072036</v>
      </c>
      <c r="K189" s="19">
        <f t="shared" si="44"/>
        <v>7500</v>
      </c>
      <c r="L189" s="269">
        <f t="shared" ref="L189:L252" si="75">L188+0.5%</f>
        <v>1.37499999999999</v>
      </c>
      <c r="M189" s="226">
        <f ca="1" t="shared" ref="M189:M252" si="76">O189*Q189</f>
        <v>6.666</v>
      </c>
      <c r="N189" s="280">
        <f ca="1" t="shared" si="40"/>
        <v>0.147066651161659</v>
      </c>
      <c r="O189" s="226">
        <f t="shared" si="48"/>
        <v>3.3</v>
      </c>
      <c r="P189" s="19">
        <f ca="1" t="shared" si="49"/>
        <v>11.2</v>
      </c>
      <c r="Q189" s="226">
        <f ca="1" t="shared" si="47"/>
        <v>2.02</v>
      </c>
      <c r="R189" s="269">
        <f ca="1" t="shared" si="56"/>
        <v>0.321221977763372</v>
      </c>
      <c r="S189" s="266">
        <f ca="1" t="shared" si="57"/>
        <v>30.1771616717559</v>
      </c>
      <c r="T189" s="226">
        <f ca="1">(1+OFFSET('玩法产出(新)'!$C$18,MATCH(X189,'玩法产出(新)'!$B$19:$B$25,0),1)*(1-V189)+OFFSET('玩法产出(新)'!$C$18,1+MATCH(X189,'玩法产出(新)'!$B$19:$B$25,0),1)*(V189))^AA189*(1+OFFSET('玩法产出(新)'!$C$18,MATCH(X189,'玩法产出(新)'!$B$19:$B$25,0),3)*(1-V189)+OFFSET('玩法产出(新)'!$C$18,1+MATCH(X189,'玩法产出(新)'!$B$19:$B$25,0),3)*(V189))^AB189*(1+OFFSET('玩法产出(新)'!$C$18,MATCH(X189,'玩法产出(新)'!$B$19:$B$25,0),4)*(1-V189)+OFFSET('玩法产出(新)'!$C$18,1+MATCH(X189,'玩法产出(新)'!$B$19:$B$25,0),4)*(V189))^AC189*(1+OFFSET('玩法产出(新)'!$C$18,MATCH(X189,'玩法产出(新)'!$B$19:$B$25,0),5)*(1+V189)+OFFSET('玩法产出(新)'!$C$18,1+MATCH(X189,'玩法产出(新)'!$B$19:$B$25,5),1)*(V189))^AD189*(1+OFFSET('玩法产出(新)'!$C$18,MATCH(X189,'玩法产出(新)'!$B$19:$B$25,0),6)*(1+V189)+OFFSET('玩法产出(新)'!$C$18,1+MATCH(X189,'玩法产出(新)'!$B$19:$B$25,0),6)*(V189))^AE189</f>
        <v>7.70404852757938</v>
      </c>
      <c r="U189" s="226">
        <f ca="1" t="shared" ref="U189:U252" si="77">LOG(T189/T188,1.07)</f>
        <v>0.180393541442765</v>
      </c>
      <c r="V189" s="226">
        <f ca="1">COUNTIF($X$124:$X189,X189)/(COUNTIF($X$124:$X$723,X189)+1)</f>
        <v>0.474226804123711</v>
      </c>
      <c r="W189" s="19">
        <v>30</v>
      </c>
      <c r="X189" s="19" t="str">
        <f ca="1" t="shared" si="58"/>
        <v>紫</v>
      </c>
      <c r="Y189" s="19">
        <f t="shared" si="45"/>
        <v>7760</v>
      </c>
      <c r="Z189" s="19">
        <f ca="1" t="shared" si="59"/>
        <v>1.69917525773196</v>
      </c>
      <c r="AA189" s="282">
        <f ca="1" t="shared" si="60"/>
        <v>21.7913375</v>
      </c>
      <c r="AB189" s="282">
        <f ca="1" t="shared" si="61"/>
        <v>6.23125</v>
      </c>
      <c r="AC189" s="282">
        <f ca="1" t="shared" si="62"/>
        <v>1.5066</v>
      </c>
      <c r="AD189" s="282">
        <f ca="1" t="shared" si="63"/>
        <v>0.37665</v>
      </c>
      <c r="AE189" s="282">
        <f ca="1" t="shared" si="64"/>
        <v>0.0941625</v>
      </c>
      <c r="AF189" s="19" t="str">
        <f t="shared" si="65"/>
        <v>红2</v>
      </c>
      <c r="AG189" s="19">
        <f>IFERROR(_xlfn.XLOOKUP(C189+1,[2]基因升级!$E$141:$E$500,[2]基因升级!$D$141:$D$500)-1,AG188)</f>
        <v>65</v>
      </c>
      <c r="AH189" s="19">
        <v>5</v>
      </c>
      <c r="AI189" s="19">
        <f t="shared" si="66"/>
        <v>6.94668959324004</v>
      </c>
      <c r="AJ189" s="19">
        <f t="shared" ref="AJ189:AJ252" si="78">AI189-AI188</f>
        <v>0</v>
      </c>
      <c r="AK189" s="269">
        <v>1.6</v>
      </c>
      <c r="AL189" s="287">
        <f>AL188+0.2</f>
        <v>3.4</v>
      </c>
      <c r="AQ189" s="19">
        <f t="shared" si="67"/>
        <v>1.25864960580211</v>
      </c>
      <c r="AR189" s="19">
        <f t="shared" si="68"/>
        <v>1</v>
      </c>
      <c r="AS189" s="19">
        <f t="shared" si="69"/>
        <v>1</v>
      </c>
      <c r="AT189" s="19">
        <f t="shared" si="70"/>
        <v>1</v>
      </c>
      <c r="AU189" s="19">
        <f t="shared" si="71"/>
        <v>1</v>
      </c>
      <c r="AV189" s="232">
        <f t="shared" si="50"/>
        <v>0.2</v>
      </c>
      <c r="AW189" s="232">
        <f t="shared" si="51"/>
        <v>0</v>
      </c>
      <c r="AX189" s="232">
        <f t="shared" si="52"/>
        <v>0</v>
      </c>
      <c r="AY189" s="232">
        <f t="shared" si="53"/>
        <v>0</v>
      </c>
      <c r="AZ189" s="232">
        <f t="shared" si="54"/>
        <v>0</v>
      </c>
    </row>
    <row r="190" spans="1:52">
      <c r="A190" s="279">
        <f ca="1">SUM($N$125:N190)</f>
        <v>23.4232993550379</v>
      </c>
      <c r="C190" s="19">
        <v>67</v>
      </c>
      <c r="D190" s="86">
        <f ca="1" t="shared" ref="D190:D253" si="79">D189+E190</f>
        <v>106.273640999592</v>
      </c>
      <c r="E190" s="251">
        <f ca="1" t="shared" si="55"/>
        <v>0.576663944767396</v>
      </c>
      <c r="F190" s="269">
        <f ca="1" t="shared" si="72"/>
        <v>130.039036540708</v>
      </c>
      <c r="G190" s="283">
        <f ca="1" t="shared" si="73"/>
        <v>74.988823785316</v>
      </c>
      <c r="H190" s="279">
        <f ca="1" t="shared" si="74"/>
        <v>0.395031409088148</v>
      </c>
      <c r="I190" s="269">
        <f ca="1">SUM($J$125:J190)/SUM($H$125:H190)</f>
        <v>0.639579577060598</v>
      </c>
      <c r="J190" s="284">
        <f t="shared" ref="J190:J253" si="80">LOG(K190*L190/$K$124/$L$124,1.07)-LOG(K189*L189/$K$124/$L$124,1.07)</f>
        <v>0.249413714007758</v>
      </c>
      <c r="K190" s="19">
        <f t="shared" si="44"/>
        <v>7600</v>
      </c>
      <c r="L190" s="269">
        <f t="shared" si="75"/>
        <v>1.37999999999999</v>
      </c>
      <c r="M190" s="226">
        <f ca="1" t="shared" si="76"/>
        <v>6.732</v>
      </c>
      <c r="N190" s="280">
        <f ca="1" t="shared" ref="N190:N253" si="81">LOG(O190*Q190/($O$124*$Q$124),1.07)-LOG(O189*Q189/($O$124*$Q$124),1.07)</f>
        <v>0.145617695080396</v>
      </c>
      <c r="O190" s="226">
        <f t="shared" si="48"/>
        <v>3.3</v>
      </c>
      <c r="P190" s="19">
        <f ca="1" t="shared" si="49"/>
        <v>11.4</v>
      </c>
      <c r="Q190" s="226">
        <f ca="1" t="shared" si="47"/>
        <v>2.04</v>
      </c>
      <c r="R190" s="269">
        <f ca="1" t="shared" si="56"/>
        <v>0.323155372393778</v>
      </c>
      <c r="S190" s="266">
        <f ca="1" t="shared" si="57"/>
        <v>30.3587942074351</v>
      </c>
      <c r="T190" s="226">
        <f ca="1">(1+OFFSET('玩法产出(新)'!$C$18,MATCH(X190,'玩法产出(新)'!$B$19:$B$25,0),1)*(1-V190)+OFFSET('玩法产出(新)'!$C$18,1+MATCH(X190,'玩法产出(新)'!$B$19:$B$25,0),1)*(V190))^AA190*(1+OFFSET('玩法产出(新)'!$C$18,MATCH(X190,'玩法产出(新)'!$B$19:$B$25,0),3)*(1-V190)+OFFSET('玩法产出(新)'!$C$18,1+MATCH(X190,'玩法产出(新)'!$B$19:$B$25,0),3)*(V190))^AB190*(1+OFFSET('玩法产出(新)'!$C$18,MATCH(X190,'玩法产出(新)'!$B$19:$B$25,0),4)*(1-V190)+OFFSET('玩法产出(新)'!$C$18,1+MATCH(X190,'玩法产出(新)'!$B$19:$B$25,0),4)*(V190))^AC190*(1+OFFSET('玩法产出(新)'!$C$18,MATCH(X190,'玩法产出(新)'!$B$19:$B$25,0),5)*(1+V190)+OFFSET('玩法产出(新)'!$C$18,1+MATCH(X190,'玩法产出(新)'!$B$19:$B$25,5),1)*(V190))^AD190*(1+OFFSET('玩法产出(新)'!$C$18,MATCH(X190,'玩法产出(新)'!$B$19:$B$25,0),6)*(1+V190)+OFFSET('玩法产出(新)'!$C$18,1+MATCH(X190,'玩法产出(新)'!$B$19:$B$25,0),6)*(V190))^AE190</f>
        <v>7.79930779377523</v>
      </c>
      <c r="U190" s="226">
        <f ca="1" t="shared" si="77"/>
        <v>0.181632535679242</v>
      </c>
      <c r="V190" s="226">
        <f ca="1">COUNTIF($X$124:$X190,X190)/(COUNTIF($X$124:$X$723,X190)+1)</f>
        <v>0.484536082474227</v>
      </c>
      <c r="W190" s="19">
        <v>30</v>
      </c>
      <c r="X190" s="19" t="str">
        <f ca="1" t="shared" si="58"/>
        <v>紫</v>
      </c>
      <c r="Y190" s="19">
        <f t="shared" si="45"/>
        <v>7860</v>
      </c>
      <c r="Z190" s="19">
        <f ca="1" t="shared" si="59"/>
        <v>1.70350515463918</v>
      </c>
      <c r="AA190" s="282">
        <f ca="1" t="shared" si="60"/>
        <v>21.6915760416667</v>
      </c>
      <c r="AB190" s="282">
        <f ca="1" t="shared" si="61"/>
        <v>6.30364583333333</v>
      </c>
      <c r="AC190" s="282">
        <f ca="1" t="shared" si="62"/>
        <v>1.52745</v>
      </c>
      <c r="AD190" s="282">
        <f ca="1" t="shared" si="63"/>
        <v>0.3818625</v>
      </c>
      <c r="AE190" s="282">
        <f ca="1" t="shared" si="64"/>
        <v>0.095465625</v>
      </c>
      <c r="AF190" s="19" t="str">
        <f t="shared" si="65"/>
        <v>红2</v>
      </c>
      <c r="AG190" s="19">
        <f>IFERROR(_xlfn.XLOOKUP(C190+1,[2]基因升级!$E$141:$E$500,[2]基因升级!$D$141:$D$500)-1,AG189)</f>
        <v>65</v>
      </c>
      <c r="AH190" s="19">
        <v>5</v>
      </c>
      <c r="AI190" s="19">
        <f t="shared" si="66"/>
        <v>6.94668959324004</v>
      </c>
      <c r="AJ190" s="19">
        <f t="shared" si="78"/>
        <v>0</v>
      </c>
      <c r="AK190" s="269">
        <v>1.6</v>
      </c>
      <c r="AL190" s="287">
        <f>AL189+0.2</f>
        <v>3.6</v>
      </c>
      <c r="AQ190" s="19">
        <f t="shared" si="67"/>
        <v>1.27579706780673</v>
      </c>
      <c r="AR190" s="19">
        <f t="shared" si="68"/>
        <v>1</v>
      </c>
      <c r="AS190" s="19">
        <f t="shared" si="69"/>
        <v>1</v>
      </c>
      <c r="AT190" s="19">
        <f t="shared" si="70"/>
        <v>1</v>
      </c>
      <c r="AU190" s="19">
        <f t="shared" si="71"/>
        <v>1</v>
      </c>
      <c r="AV190" s="232">
        <f t="shared" si="50"/>
        <v>0.2</v>
      </c>
      <c r="AW190" s="232">
        <f t="shared" si="51"/>
        <v>0</v>
      </c>
      <c r="AX190" s="232">
        <f t="shared" si="52"/>
        <v>0</v>
      </c>
      <c r="AY190" s="232">
        <f t="shared" si="53"/>
        <v>0</v>
      </c>
      <c r="AZ190" s="232">
        <f t="shared" si="54"/>
        <v>0</v>
      </c>
    </row>
    <row r="191" spans="1:52">
      <c r="A191" s="279">
        <f ca="1">SUM($N$125:N191)</f>
        <v>23.5674963670303</v>
      </c>
      <c r="C191" s="19">
        <v>68</v>
      </c>
      <c r="D191" s="86">
        <f ca="1" t="shared" si="79"/>
        <v>106.847367596534</v>
      </c>
      <c r="E191" s="251">
        <f ca="1" t="shared" si="55"/>
        <v>0.573726596942037</v>
      </c>
      <c r="F191" s="269">
        <f ca="1" t="shared" si="72"/>
        <v>131.386067488248</v>
      </c>
      <c r="G191" s="283">
        <f ca="1" t="shared" si="73"/>
        <v>75.3796813856292</v>
      </c>
      <c r="H191" s="279">
        <f ca="1" t="shared" si="74"/>
        <v>0.39085760031314</v>
      </c>
      <c r="I191" s="269">
        <f ca="1">SUM($J$125:J191)/SUM($H$125:H191)</f>
        <v>0.639528736335957</v>
      </c>
      <c r="J191" s="284">
        <f t="shared" si="80"/>
        <v>0.246660588320793</v>
      </c>
      <c r="K191" s="19">
        <f t="shared" si="44"/>
        <v>7700</v>
      </c>
      <c r="L191" s="269">
        <f t="shared" si="75"/>
        <v>1.38499999999999</v>
      </c>
      <c r="M191" s="226">
        <f ca="1" t="shared" si="76"/>
        <v>6.798</v>
      </c>
      <c r="N191" s="280">
        <f ca="1" t="shared" si="81"/>
        <v>0.14419701199235</v>
      </c>
      <c r="O191" s="226">
        <f t="shared" si="48"/>
        <v>3.3</v>
      </c>
      <c r="P191" s="19">
        <f ca="1" t="shared" si="49"/>
        <v>11.6</v>
      </c>
      <c r="Q191" s="226">
        <f ca="1" t="shared" si="47"/>
        <v>2.06</v>
      </c>
      <c r="R191" s="269">
        <f ca="1" t="shared" si="56"/>
        <v>0.325101928581125</v>
      </c>
      <c r="S191" s="266">
        <f ca="1" t="shared" si="57"/>
        <v>30.541663204064</v>
      </c>
      <c r="T191" s="226">
        <f ca="1">(1+OFFSET('玩法产出(新)'!$C$18,MATCH(X191,'玩法产出(新)'!$B$19:$B$25,0),1)*(1-V191)+OFFSET('玩法产出(新)'!$C$18,1+MATCH(X191,'玩法产出(新)'!$B$19:$B$25,0),1)*(V191))^AA191*(1+OFFSET('玩法产出(新)'!$C$18,MATCH(X191,'玩法产出(新)'!$B$19:$B$25,0),3)*(1-V191)+OFFSET('玩法产出(新)'!$C$18,1+MATCH(X191,'玩法产出(新)'!$B$19:$B$25,0),3)*(V191))^AB191*(1+OFFSET('玩法产出(新)'!$C$18,MATCH(X191,'玩法产出(新)'!$B$19:$B$25,0),4)*(1-V191)+OFFSET('玩法产出(新)'!$C$18,1+MATCH(X191,'玩法产出(新)'!$B$19:$B$25,0),4)*(V191))^AC191*(1+OFFSET('玩法产出(新)'!$C$18,MATCH(X191,'玩法产出(新)'!$B$19:$B$25,0),5)*(1+V191)+OFFSET('玩法产出(新)'!$C$18,1+MATCH(X191,'玩法产出(新)'!$B$19:$B$25,5),1)*(V191))^AD191*(1+OFFSET('玩法产出(新)'!$C$18,MATCH(X191,'玩法产出(新)'!$B$19:$B$25,0),6)*(1+V191)+OFFSET('玩法产出(新)'!$C$18,1+MATCH(X191,'玩法产出(新)'!$B$19:$B$25,0),6)*(V191))^AE191</f>
        <v>7.89640548894776</v>
      </c>
      <c r="U191" s="226">
        <f ca="1" t="shared" si="77"/>
        <v>0.182868996628893</v>
      </c>
      <c r="V191" s="226">
        <f ca="1">COUNTIF($X$124:$X191,X191)/(COUNTIF($X$124:$X$723,X191)+1)</f>
        <v>0.494845360824742</v>
      </c>
      <c r="W191" s="19">
        <v>30</v>
      </c>
      <c r="X191" s="19" t="str">
        <f ca="1" t="shared" si="58"/>
        <v>紫</v>
      </c>
      <c r="Y191" s="19">
        <f t="shared" si="45"/>
        <v>7960</v>
      </c>
      <c r="Z191" s="19">
        <f ca="1" t="shared" si="59"/>
        <v>1.70783505154639</v>
      </c>
      <c r="AA191" s="282">
        <f ca="1" t="shared" si="60"/>
        <v>21.5918145833333</v>
      </c>
      <c r="AB191" s="282">
        <f ca="1" t="shared" si="61"/>
        <v>6.37604166666667</v>
      </c>
      <c r="AC191" s="282">
        <f ca="1" t="shared" si="62"/>
        <v>1.5483</v>
      </c>
      <c r="AD191" s="282">
        <f ca="1" t="shared" si="63"/>
        <v>0.387075</v>
      </c>
      <c r="AE191" s="282">
        <f ca="1" t="shared" si="64"/>
        <v>0.09676875</v>
      </c>
      <c r="AF191" s="19" t="str">
        <f t="shared" si="65"/>
        <v>红2</v>
      </c>
      <c r="AG191" s="19">
        <f>IFERROR(_xlfn.XLOOKUP(C191+1,[2]基因升级!$E$141:$E$500,[2]基因升级!$D$141:$D$500)-1,AG190)</f>
        <v>65</v>
      </c>
      <c r="AH191" s="19">
        <v>5</v>
      </c>
      <c r="AI191" s="19">
        <f t="shared" si="66"/>
        <v>6.94668959324004</v>
      </c>
      <c r="AJ191" s="19">
        <f t="shared" si="78"/>
        <v>0</v>
      </c>
      <c r="AK191" s="269">
        <v>1.6</v>
      </c>
      <c r="AL191" s="287">
        <f>AL190+0.2</f>
        <v>3.8</v>
      </c>
      <c r="AQ191" s="19">
        <f t="shared" si="67"/>
        <v>1.29317814165364</v>
      </c>
      <c r="AR191" s="19">
        <f t="shared" si="68"/>
        <v>1</v>
      </c>
      <c r="AS191" s="19">
        <f t="shared" si="69"/>
        <v>1</v>
      </c>
      <c r="AT191" s="19">
        <f t="shared" si="70"/>
        <v>1</v>
      </c>
      <c r="AU191" s="19">
        <f t="shared" si="71"/>
        <v>1</v>
      </c>
      <c r="AV191" s="232">
        <f t="shared" si="50"/>
        <v>0.2</v>
      </c>
      <c r="AW191" s="232">
        <f t="shared" si="51"/>
        <v>0</v>
      </c>
      <c r="AX191" s="232">
        <f t="shared" si="52"/>
        <v>0</v>
      </c>
      <c r="AY191" s="232">
        <f t="shared" si="53"/>
        <v>0</v>
      </c>
      <c r="AZ191" s="232">
        <f t="shared" si="54"/>
        <v>0</v>
      </c>
    </row>
    <row r="192" spans="1:52">
      <c r="A192" s="279">
        <f ca="1">SUM($N$125:N192)</f>
        <v>23.7103001493949</v>
      </c>
      <c r="C192" s="19">
        <v>69</v>
      </c>
      <c r="D192" s="86">
        <f ca="1" t="shared" si="79"/>
        <v>107.418249218541</v>
      </c>
      <c r="E192" s="251">
        <f ca="1" t="shared" si="55"/>
        <v>0.57088162200716</v>
      </c>
      <c r="F192" s="269">
        <f ca="1" t="shared" si="72"/>
        <v>132.718338009702</v>
      </c>
      <c r="G192" s="283">
        <f ca="1" t="shared" si="73"/>
        <v>75.7664600730733</v>
      </c>
      <c r="H192" s="279">
        <f ca="1" t="shared" si="74"/>
        <v>0.386778687444092</v>
      </c>
      <c r="I192" s="269">
        <f ca="1">SUM($J$125:J192)/SUM($H$125:H192)</f>
        <v>0.639477324413534</v>
      </c>
      <c r="J192" s="284">
        <f t="shared" si="80"/>
        <v>0.243974905079504</v>
      </c>
      <c r="K192" s="19">
        <f t="shared" si="44"/>
        <v>7800</v>
      </c>
      <c r="L192" s="269">
        <f t="shared" si="75"/>
        <v>1.38999999999999</v>
      </c>
      <c r="M192" s="226">
        <f ca="1" t="shared" si="76"/>
        <v>6.864</v>
      </c>
      <c r="N192" s="280">
        <f ca="1" t="shared" si="81"/>
        <v>0.142803782364584</v>
      </c>
      <c r="O192" s="226">
        <f t="shared" si="48"/>
        <v>3.3</v>
      </c>
      <c r="P192" s="19">
        <f ca="1" t="shared" si="49"/>
        <v>11.8</v>
      </c>
      <c r="Q192" s="226">
        <f ca="1" t="shared" si="47"/>
        <v>2.08</v>
      </c>
      <c r="R192" s="269">
        <f ca="1" t="shared" si="56"/>
        <v>0.327061619469077</v>
      </c>
      <c r="S192" s="266">
        <f ca="1" t="shared" si="57"/>
        <v>30.7257661386271</v>
      </c>
      <c r="T192" s="226">
        <f ca="1">(1+OFFSET('玩法产出(新)'!$C$18,MATCH(X192,'玩法产出(新)'!$B$19:$B$25,0),1)*(1-V192)+OFFSET('玩法产出(新)'!$C$18,1+MATCH(X192,'玩法产出(新)'!$B$19:$B$25,0),1)*(V192))^AA192*(1+OFFSET('玩法产出(新)'!$C$18,MATCH(X192,'玩法产出(新)'!$B$19:$B$25,0),3)*(1-V192)+OFFSET('玩法产出(新)'!$C$18,1+MATCH(X192,'玩法产出(新)'!$B$19:$B$25,0),3)*(V192))^AB192*(1+OFFSET('玩法产出(新)'!$C$18,MATCH(X192,'玩法产出(新)'!$B$19:$B$25,0),4)*(1-V192)+OFFSET('玩法产出(新)'!$C$18,1+MATCH(X192,'玩法产出(新)'!$B$19:$B$25,0),4)*(V192))^AC192*(1+OFFSET('玩法产出(新)'!$C$18,MATCH(X192,'玩法产出(新)'!$B$19:$B$25,0),5)*(1+V192)+OFFSET('玩法产出(新)'!$C$18,1+MATCH(X192,'玩法产出(新)'!$B$19:$B$25,5),1)*(V192))^AD192*(1+OFFSET('玩法产出(新)'!$C$18,MATCH(X192,'玩法产出(新)'!$B$19:$B$25,0),6)*(1+V192)+OFFSET('玩法产出(新)'!$C$18,1+MATCH(X192,'玩法产出(新)'!$B$19:$B$25,0),6)*(V192))^AE192</f>
        <v>7.99537948349471</v>
      </c>
      <c r="U192" s="226">
        <f ca="1" t="shared" si="77"/>
        <v>0.184102934563072</v>
      </c>
      <c r="V192" s="226">
        <f ca="1">COUNTIF($X$124:$X192,X192)/(COUNTIF($X$124:$X$723,X192)+1)</f>
        <v>0.505154639175258</v>
      </c>
      <c r="W192" s="19">
        <v>30</v>
      </c>
      <c r="X192" s="19" t="str">
        <f ca="1" t="shared" si="58"/>
        <v>紫</v>
      </c>
      <c r="Y192" s="19">
        <f t="shared" si="45"/>
        <v>8060</v>
      </c>
      <c r="Z192" s="19">
        <f ca="1" t="shared" si="59"/>
        <v>1.71216494845361</v>
      </c>
      <c r="AA192" s="282">
        <f ca="1" t="shared" si="60"/>
        <v>21.492053125</v>
      </c>
      <c r="AB192" s="282">
        <f ca="1" t="shared" si="61"/>
        <v>6.4484375</v>
      </c>
      <c r="AC192" s="282">
        <f ca="1" t="shared" si="62"/>
        <v>1.56915</v>
      </c>
      <c r="AD192" s="282">
        <f ca="1" t="shared" si="63"/>
        <v>0.3922875</v>
      </c>
      <c r="AE192" s="282">
        <f ca="1" t="shared" si="64"/>
        <v>0.098071875</v>
      </c>
      <c r="AF192" s="19" t="str">
        <f t="shared" si="65"/>
        <v>红2</v>
      </c>
      <c r="AG192" s="19">
        <f>IFERROR(_xlfn.XLOOKUP(C192+1,[2]基因升级!$E$141:$E$500,[2]基因升级!$D$141:$D$500)-1,AG191)</f>
        <v>65</v>
      </c>
      <c r="AH192" s="19">
        <v>5</v>
      </c>
      <c r="AI192" s="19">
        <f t="shared" si="66"/>
        <v>6.94668959324004</v>
      </c>
      <c r="AJ192" s="19">
        <f t="shared" si="78"/>
        <v>0</v>
      </c>
      <c r="AK192" s="269">
        <v>1.6</v>
      </c>
      <c r="AL192" s="287">
        <f>AL191+0.2</f>
        <v>4</v>
      </c>
      <c r="AQ192" s="19">
        <f t="shared" si="67"/>
        <v>1.31079601</v>
      </c>
      <c r="AR192" s="19">
        <f t="shared" si="68"/>
        <v>1</v>
      </c>
      <c r="AS192" s="19">
        <f t="shared" si="69"/>
        <v>1</v>
      </c>
      <c r="AT192" s="19">
        <f t="shared" si="70"/>
        <v>1</v>
      </c>
      <c r="AU192" s="19">
        <f t="shared" si="71"/>
        <v>1</v>
      </c>
      <c r="AV192" s="232">
        <f t="shared" si="50"/>
        <v>0.2</v>
      </c>
      <c r="AW192" s="232">
        <f t="shared" si="51"/>
        <v>0</v>
      </c>
      <c r="AX192" s="232">
        <f t="shared" si="52"/>
        <v>0</v>
      </c>
      <c r="AY192" s="232">
        <f t="shared" si="53"/>
        <v>0</v>
      </c>
      <c r="AZ192" s="232">
        <f t="shared" si="54"/>
        <v>0</v>
      </c>
    </row>
    <row r="193" spans="1:52">
      <c r="A193" s="279">
        <f ca="1">SUM($N$125:N193)</f>
        <v>23.85173736743</v>
      </c>
      <c r="C193" s="19">
        <v>70</v>
      </c>
      <c r="D193" s="86">
        <f ca="1" t="shared" si="79"/>
        <v>107.986374921367</v>
      </c>
      <c r="E193" s="251">
        <f ca="1" t="shared" si="55"/>
        <v>0.56812570282639</v>
      </c>
      <c r="F193" s="269">
        <f ca="1" t="shared" si="72"/>
        <v>134.035920285555</v>
      </c>
      <c r="G193" s="283">
        <f ca="1" t="shared" si="73"/>
        <v>76.149251416213</v>
      </c>
      <c r="H193" s="279">
        <f ca="1" t="shared" si="74"/>
        <v>0.382791343139715</v>
      </c>
      <c r="I193" s="269">
        <f ca="1">SUM($J$125:J193)/SUM($H$125:H193)</f>
        <v>0.639425437827646</v>
      </c>
      <c r="J193" s="284">
        <f t="shared" si="80"/>
        <v>0.241354125104614</v>
      </c>
      <c r="K193" s="19">
        <f t="shared" si="44"/>
        <v>7900</v>
      </c>
      <c r="L193" s="269">
        <f t="shared" si="75"/>
        <v>1.39499999999999</v>
      </c>
      <c r="M193" s="226">
        <f ca="1" t="shared" si="76"/>
        <v>6.93</v>
      </c>
      <c r="N193" s="280">
        <f ca="1" t="shared" si="81"/>
        <v>0.141437218035101</v>
      </c>
      <c r="O193" s="226">
        <f t="shared" si="48"/>
        <v>3.3</v>
      </c>
      <c r="P193" s="19">
        <f ca="1" t="shared" si="49"/>
        <v>12</v>
      </c>
      <c r="Q193" s="226">
        <f ca="1" t="shared" si="47"/>
        <v>2.1</v>
      </c>
      <c r="R193" s="269">
        <f ca="1" t="shared" si="56"/>
        <v>0.329034418309923</v>
      </c>
      <c r="S193" s="266">
        <f ca="1" t="shared" si="57"/>
        <v>30.9111004983137</v>
      </c>
      <c r="T193" s="226">
        <f ca="1">(1+OFFSET('玩法产出(新)'!$C$18,MATCH(X193,'玩法产出(新)'!$B$19:$B$25,0),1)*(1-V193)+OFFSET('玩法产出(新)'!$C$18,1+MATCH(X193,'玩法产出(新)'!$B$19:$B$25,0),1)*(V193))^AA193*(1+OFFSET('玩法产出(新)'!$C$18,MATCH(X193,'玩法产出(新)'!$B$19:$B$25,0),3)*(1-V193)+OFFSET('玩法产出(新)'!$C$18,1+MATCH(X193,'玩法产出(新)'!$B$19:$B$25,0),3)*(V193))^AB193*(1+OFFSET('玩法产出(新)'!$C$18,MATCH(X193,'玩法产出(新)'!$B$19:$B$25,0),4)*(1-V193)+OFFSET('玩法产出(新)'!$C$18,1+MATCH(X193,'玩法产出(新)'!$B$19:$B$25,0),4)*(V193))^AC193*(1+OFFSET('玩法产出(新)'!$C$18,MATCH(X193,'玩法产出(新)'!$B$19:$B$25,0),5)*(1+V193)+OFFSET('玩法产出(新)'!$C$18,1+MATCH(X193,'玩法产出(新)'!$B$19:$B$25,5),1)*(V193))^AD193*(1+OFFSET('玩法产出(新)'!$C$18,MATCH(X193,'玩法产出(新)'!$B$19:$B$25,0),6)*(1+V193)+OFFSET('玩法产出(新)'!$C$18,1+MATCH(X193,'玩法产出(新)'!$B$19:$B$25,0),6)*(V193))^AE193</f>
        <v>8.09626854884724</v>
      </c>
      <c r="U193" s="226">
        <f ca="1" t="shared" si="77"/>
        <v>0.185334359686675</v>
      </c>
      <c r="V193" s="226">
        <f ca="1">COUNTIF($X$124:$X193,X193)/(COUNTIF($X$124:$X$723,X193)+1)</f>
        <v>0.515463917525773</v>
      </c>
      <c r="W193" s="19">
        <v>30</v>
      </c>
      <c r="X193" s="19" t="str">
        <f ca="1" t="shared" si="58"/>
        <v>紫</v>
      </c>
      <c r="Y193" s="19">
        <f t="shared" si="45"/>
        <v>8160</v>
      </c>
      <c r="Z193" s="19">
        <f ca="1" t="shared" si="59"/>
        <v>1.71649484536082</v>
      </c>
      <c r="AA193" s="282">
        <f ca="1" t="shared" si="60"/>
        <v>21.3922916666667</v>
      </c>
      <c r="AB193" s="282">
        <f ca="1" t="shared" si="61"/>
        <v>6.52083333333333</v>
      </c>
      <c r="AC193" s="282">
        <f ca="1" t="shared" si="62"/>
        <v>1.59</v>
      </c>
      <c r="AD193" s="282">
        <f ca="1" t="shared" si="63"/>
        <v>0.3975</v>
      </c>
      <c r="AE193" s="282">
        <f ca="1" t="shared" si="64"/>
        <v>0.099375</v>
      </c>
      <c r="AF193" s="19" t="str">
        <f t="shared" si="65"/>
        <v>红2</v>
      </c>
      <c r="AG193" s="19">
        <f>IFERROR(_xlfn.XLOOKUP(C193+1,[2]基因升级!$E$141:$E$500,[2]基因升级!$D$141:$D$500)-1,AG192)</f>
        <v>66</v>
      </c>
      <c r="AH193" s="19">
        <v>5</v>
      </c>
      <c r="AI193" s="19">
        <f t="shared" si="66"/>
        <v>6.94668959324004</v>
      </c>
      <c r="AJ193" s="19">
        <f t="shared" si="78"/>
        <v>0</v>
      </c>
      <c r="AK193" s="269">
        <v>1.6</v>
      </c>
      <c r="AL193" s="287">
        <f>AL192+0.1</f>
        <v>4.1</v>
      </c>
      <c r="AQ193" s="19">
        <f t="shared" si="67"/>
        <v>1.31969474853087</v>
      </c>
      <c r="AR193" s="19">
        <f t="shared" si="68"/>
        <v>1</v>
      </c>
      <c r="AS193" s="19">
        <f t="shared" si="69"/>
        <v>1</v>
      </c>
      <c r="AT193" s="19">
        <f t="shared" si="70"/>
        <v>1</v>
      </c>
      <c r="AU193" s="19">
        <f t="shared" si="71"/>
        <v>1</v>
      </c>
      <c r="AV193" s="232">
        <f t="shared" si="50"/>
        <v>0.0999999999999996</v>
      </c>
      <c r="AW193" s="232">
        <f t="shared" si="51"/>
        <v>0</v>
      </c>
      <c r="AX193" s="232">
        <f t="shared" si="52"/>
        <v>0</v>
      </c>
      <c r="AY193" s="232">
        <f t="shared" si="53"/>
        <v>0</v>
      </c>
      <c r="AZ193" s="232">
        <f t="shared" si="54"/>
        <v>0</v>
      </c>
    </row>
    <row r="194" spans="1:52">
      <c r="A194" s="279">
        <f ca="1">SUM($N$125:N194)</f>
        <v>23.9918339281559</v>
      </c>
      <c r="C194" s="19">
        <v>71</v>
      </c>
      <c r="D194" s="86">
        <f ca="1" t="shared" si="79"/>
        <v>108.551830600673</v>
      </c>
      <c r="E194" s="251">
        <f ca="1" t="shared" si="55"/>
        <v>0.565455679306321</v>
      </c>
      <c r="F194" s="269">
        <f ca="1" t="shared" si="72"/>
        <v>135.338889702657</v>
      </c>
      <c r="G194" s="283">
        <f ca="1" t="shared" si="73"/>
        <v>76.5281438133795</v>
      </c>
      <c r="H194" s="279">
        <f ca="1" t="shared" si="74"/>
        <v>0.378892397166467</v>
      </c>
      <c r="I194" s="269">
        <f ca="1">SUM($J$125:J194)/SUM($H$125:H194)</f>
        <v>0.639373165205748</v>
      </c>
      <c r="J194" s="284">
        <f t="shared" si="80"/>
        <v>0.238795836440588</v>
      </c>
      <c r="K194" s="19">
        <f t="shared" ref="K194:K257" si="82">K193+100</f>
        <v>8000</v>
      </c>
      <c r="L194" s="269">
        <f t="shared" si="75"/>
        <v>1.39999999999999</v>
      </c>
      <c r="M194" s="226">
        <f ca="1" t="shared" si="76"/>
        <v>6.996</v>
      </c>
      <c r="N194" s="280">
        <f ca="1" t="shared" si="81"/>
        <v>0.140096560725887</v>
      </c>
      <c r="O194" s="226">
        <f t="shared" si="48"/>
        <v>3.3</v>
      </c>
      <c r="P194" s="19">
        <f ca="1" t="shared" si="49"/>
        <v>12.2</v>
      </c>
      <c r="Q194" s="226">
        <f ca="1" t="shared" si="47"/>
        <v>2.12</v>
      </c>
      <c r="R194" s="269">
        <f ca="1" t="shared" si="56"/>
        <v>0.33102029846389</v>
      </c>
      <c r="S194" s="266">
        <f ca="1" t="shared" si="57"/>
        <v>31.0976637804536</v>
      </c>
      <c r="T194" s="226">
        <f ca="1">(1+OFFSET('玩法产出(新)'!$C$18,MATCH(X194,'玩法产出(新)'!$B$19:$B$25,0),1)*(1-V194)+OFFSET('玩法产出(新)'!$C$18,1+MATCH(X194,'玩法产出(新)'!$B$19:$B$25,0),1)*(V194))^AA194*(1+OFFSET('玩法产出(新)'!$C$18,MATCH(X194,'玩法产出(新)'!$B$19:$B$25,0),3)*(1-V194)+OFFSET('玩法产出(新)'!$C$18,1+MATCH(X194,'玩法产出(新)'!$B$19:$B$25,0),3)*(V194))^AB194*(1+OFFSET('玩法产出(新)'!$C$18,MATCH(X194,'玩法产出(新)'!$B$19:$B$25,0),4)*(1-V194)+OFFSET('玩法产出(新)'!$C$18,1+MATCH(X194,'玩法产出(新)'!$B$19:$B$25,0),4)*(V194))^AC194*(1+OFFSET('玩法产出(新)'!$C$18,MATCH(X194,'玩法产出(新)'!$B$19:$B$25,0),5)*(1+V194)+OFFSET('玩法产出(新)'!$C$18,1+MATCH(X194,'玩法产出(新)'!$B$19:$B$25,5),1)*(V194))^AD194*(1+OFFSET('玩法产出(新)'!$C$18,MATCH(X194,'玩法产出(新)'!$B$19:$B$25,0),6)*(1+V194)+OFFSET('玩法产出(新)'!$C$18,1+MATCH(X194,'玩法产出(新)'!$B$19:$B$25,0),6)*(V194))^AE194</f>
        <v>8.19911238007304</v>
      </c>
      <c r="U194" s="226">
        <f ca="1" t="shared" si="77"/>
        <v>0.186563282139847</v>
      </c>
      <c r="V194" s="226">
        <f ca="1">COUNTIF($X$124:$X194,X194)/(COUNTIF($X$124:$X$723,X194)+1)</f>
        <v>0.525773195876289</v>
      </c>
      <c r="W194" s="19">
        <v>30</v>
      </c>
      <c r="X194" s="19" t="str">
        <f ca="1" t="shared" si="58"/>
        <v>紫</v>
      </c>
      <c r="Y194" s="19">
        <f t="shared" si="45"/>
        <v>8260</v>
      </c>
      <c r="Z194" s="19">
        <f ca="1" t="shared" si="59"/>
        <v>1.72082474226804</v>
      </c>
      <c r="AA194" s="282">
        <f ca="1" t="shared" si="60"/>
        <v>21.2925302083333</v>
      </c>
      <c r="AB194" s="282">
        <f ca="1" t="shared" si="61"/>
        <v>6.59322916666667</v>
      </c>
      <c r="AC194" s="282">
        <f ca="1" t="shared" si="62"/>
        <v>1.61085</v>
      </c>
      <c r="AD194" s="282">
        <f ca="1" t="shared" si="63"/>
        <v>0.4027125</v>
      </c>
      <c r="AE194" s="282">
        <f ca="1" t="shared" si="64"/>
        <v>0.100678125</v>
      </c>
      <c r="AF194" s="19" t="str">
        <f t="shared" si="65"/>
        <v>红2</v>
      </c>
      <c r="AG194" s="19">
        <f>IFERROR(_xlfn.XLOOKUP(C194+1,[2]基因升级!$E$141:$E$500,[2]基因升级!$D$141:$D$500)-1,AG193)</f>
        <v>66</v>
      </c>
      <c r="AH194" s="19">
        <v>5</v>
      </c>
      <c r="AI194" s="19">
        <f t="shared" si="66"/>
        <v>6.94668959324004</v>
      </c>
      <c r="AJ194" s="19">
        <f t="shared" si="78"/>
        <v>0</v>
      </c>
      <c r="AK194" s="269">
        <v>1.6</v>
      </c>
      <c r="AL194" s="287">
        <f>AL193+0.1</f>
        <v>4.2</v>
      </c>
      <c r="AQ194" s="19">
        <f t="shared" si="67"/>
        <v>1.32865389886254</v>
      </c>
      <c r="AR194" s="19">
        <f t="shared" si="68"/>
        <v>1</v>
      </c>
      <c r="AS194" s="19">
        <f t="shared" si="69"/>
        <v>1</v>
      </c>
      <c r="AT194" s="19">
        <f t="shared" si="70"/>
        <v>1</v>
      </c>
      <c r="AU194" s="19">
        <f t="shared" si="71"/>
        <v>1</v>
      </c>
      <c r="AV194" s="232">
        <f t="shared" si="50"/>
        <v>0.0999999999999996</v>
      </c>
      <c r="AW194" s="232">
        <f t="shared" si="51"/>
        <v>0</v>
      </c>
      <c r="AX194" s="232">
        <f t="shared" si="52"/>
        <v>0</v>
      </c>
      <c r="AY194" s="232">
        <f t="shared" si="53"/>
        <v>0</v>
      </c>
      <c r="AZ194" s="232">
        <f t="shared" si="54"/>
        <v>0</v>
      </c>
    </row>
    <row r="195" spans="1:52">
      <c r="A195" s="279">
        <f ca="1">SUM($N$125:N195)</f>
        <v>24.1306150087959</v>
      </c>
      <c r="C195" s="19">
        <v>72</v>
      </c>
      <c r="D195" s="86">
        <f ca="1" t="shared" si="79"/>
        <v>109.114699139773</v>
      </c>
      <c r="E195" s="251">
        <f ca="1" t="shared" si="55"/>
        <v>0.562868539099348</v>
      </c>
      <c r="F195" s="269">
        <f ca="1" t="shared" si="72"/>
        <v>136.627324674311</v>
      </c>
      <c r="G195" s="283">
        <f ca="1" t="shared" si="73"/>
        <v>76.9032226404819</v>
      </c>
      <c r="H195" s="279">
        <f ca="1" t="shared" si="74"/>
        <v>0.375078827102413</v>
      </c>
      <c r="I195" s="269">
        <f ca="1">SUM($J$125:J195)/SUM($H$125:H195)</f>
        <v>0.639320587911488</v>
      </c>
      <c r="J195" s="284">
        <f t="shared" si="80"/>
        <v>0.236297746462384</v>
      </c>
      <c r="K195" s="19">
        <f t="shared" si="82"/>
        <v>8100</v>
      </c>
      <c r="L195" s="269">
        <f t="shared" si="75"/>
        <v>1.40499999999999</v>
      </c>
      <c r="M195" s="226">
        <f ca="1" t="shared" si="76"/>
        <v>7.062</v>
      </c>
      <c r="N195" s="280">
        <f ca="1" t="shared" si="81"/>
        <v>0.138781080640015</v>
      </c>
      <c r="O195" s="226">
        <f t="shared" si="48"/>
        <v>3.3</v>
      </c>
      <c r="P195" s="19">
        <f ca="1" t="shared" si="49"/>
        <v>12.4</v>
      </c>
      <c r="Q195" s="226">
        <f ca="1" t="shared" si="47"/>
        <v>2.14</v>
      </c>
      <c r="R195" s="269">
        <f ca="1" t="shared" si="56"/>
        <v>0.333019233398441</v>
      </c>
      <c r="S195" s="266">
        <f ca="1" t="shared" si="57"/>
        <v>31.2854534924505</v>
      </c>
      <c r="T195" s="226">
        <f ca="1">(1+OFFSET('玩法产出(新)'!$C$18,MATCH(X195,'玩法产出(新)'!$B$19:$B$25,0),1)*(1-V195)+OFFSET('玩法产出(新)'!$C$18,1+MATCH(X195,'玩法产出(新)'!$B$19:$B$25,0),1)*(V195))^AA195*(1+OFFSET('玩法产出(新)'!$C$18,MATCH(X195,'玩法产出(新)'!$B$19:$B$25,0),3)*(1-V195)+OFFSET('玩法产出(新)'!$C$18,1+MATCH(X195,'玩法产出(新)'!$B$19:$B$25,0),3)*(V195))^AB195*(1+OFFSET('玩法产出(新)'!$C$18,MATCH(X195,'玩法产出(新)'!$B$19:$B$25,0),4)*(1-V195)+OFFSET('玩法产出(新)'!$C$18,1+MATCH(X195,'玩法产出(新)'!$B$19:$B$25,0),4)*(V195))^AC195*(1+OFFSET('玩法产出(新)'!$C$18,MATCH(X195,'玩法产出(新)'!$B$19:$B$25,0),5)*(1+V195)+OFFSET('玩法产出(新)'!$C$18,1+MATCH(X195,'玩法产出(新)'!$B$19:$B$25,5),1)*(V195))^AD195*(1+OFFSET('玩法产出(新)'!$C$18,MATCH(X195,'玩法产出(新)'!$B$19:$B$25,0),6)*(1+V195)+OFFSET('玩法产出(新)'!$C$18,1+MATCH(X195,'玩法产出(新)'!$B$19:$B$25,0),6)*(V195))^AE195</f>
        <v>8.30395161909432</v>
      </c>
      <c r="U195" s="226">
        <f ca="1" t="shared" si="77"/>
        <v>0.187789711996948</v>
      </c>
      <c r="V195" s="226">
        <f ca="1">COUNTIF($X$124:$X195,X195)/(COUNTIF($X$124:$X$723,X195)+1)</f>
        <v>0.536082474226804</v>
      </c>
      <c r="W195" s="19">
        <v>30</v>
      </c>
      <c r="X195" s="19" t="str">
        <f ca="1" t="shared" si="58"/>
        <v>紫</v>
      </c>
      <c r="Y195" s="19">
        <f t="shared" ref="Y195:Y258" si="83">Y194+100</f>
        <v>8360</v>
      </c>
      <c r="Z195" s="19">
        <f ca="1" t="shared" si="59"/>
        <v>1.72515463917526</v>
      </c>
      <c r="AA195" s="282">
        <f ca="1" t="shared" si="60"/>
        <v>21.19276875</v>
      </c>
      <c r="AB195" s="282">
        <f ca="1" t="shared" si="61"/>
        <v>6.665625</v>
      </c>
      <c r="AC195" s="282">
        <f ca="1" t="shared" si="62"/>
        <v>1.6317</v>
      </c>
      <c r="AD195" s="282">
        <f ca="1" t="shared" si="63"/>
        <v>0.407925</v>
      </c>
      <c r="AE195" s="282">
        <f ca="1" t="shared" si="64"/>
        <v>0.10198125</v>
      </c>
      <c r="AF195" s="19" t="str">
        <f t="shared" si="65"/>
        <v>红2</v>
      </c>
      <c r="AG195" s="19">
        <f>IFERROR(_xlfn.XLOOKUP(C195+1,[2]基因升级!$E$141:$E$500,[2]基因升级!$D$141:$D$500)-1,AG194)</f>
        <v>66</v>
      </c>
      <c r="AH195" s="19">
        <v>5</v>
      </c>
      <c r="AI195" s="19">
        <f t="shared" si="66"/>
        <v>6.94668959324004</v>
      </c>
      <c r="AJ195" s="19">
        <f t="shared" si="78"/>
        <v>0</v>
      </c>
      <c r="AK195" s="269">
        <v>1.6</v>
      </c>
      <c r="AL195" s="287">
        <f>AL194+0.1</f>
        <v>4.3</v>
      </c>
      <c r="AQ195" s="19">
        <f t="shared" si="67"/>
        <v>1.33767387111894</v>
      </c>
      <c r="AR195" s="19">
        <f t="shared" si="68"/>
        <v>1</v>
      </c>
      <c r="AS195" s="19">
        <f t="shared" si="69"/>
        <v>1</v>
      </c>
      <c r="AT195" s="19">
        <f t="shared" si="70"/>
        <v>1</v>
      </c>
      <c r="AU195" s="19">
        <f t="shared" si="71"/>
        <v>1</v>
      </c>
      <c r="AV195" s="232">
        <f t="shared" si="50"/>
        <v>0.0999999999999996</v>
      </c>
      <c r="AW195" s="232">
        <f t="shared" si="51"/>
        <v>0</v>
      </c>
      <c r="AX195" s="232">
        <f t="shared" si="52"/>
        <v>0</v>
      </c>
      <c r="AY195" s="232">
        <f t="shared" si="53"/>
        <v>0</v>
      </c>
      <c r="AZ195" s="232">
        <f t="shared" si="54"/>
        <v>0</v>
      </c>
    </row>
    <row r="196" spans="1:52">
      <c r="A196" s="279">
        <f ca="1">SUM($N$125:N196)</f>
        <v>24.2681050839326</v>
      </c>
      <c r="C196" s="19">
        <v>73</v>
      </c>
      <c r="D196" s="86">
        <f ca="1" t="shared" si="79"/>
        <v>109.675060548742</v>
      </c>
      <c r="E196" s="251">
        <f ca="1" t="shared" si="55"/>
        <v>0.560361408968771</v>
      </c>
      <c r="F196" s="269">
        <f ca="1" t="shared" si="72"/>
        <v>137.901306466464</v>
      </c>
      <c r="G196" s="283">
        <f ca="1" t="shared" si="73"/>
        <v>77.2745703901819</v>
      </c>
      <c r="H196" s="279">
        <f ca="1" t="shared" si="74"/>
        <v>0.371347749700021</v>
      </c>
      <c r="I196" s="269">
        <f ca="1">SUM($J$125:J196)/SUM($H$125:H196)</f>
        <v>0.639267780631204</v>
      </c>
      <c r="J196" s="284">
        <f t="shared" si="80"/>
        <v>0.233857674563296</v>
      </c>
      <c r="K196" s="19">
        <f t="shared" si="82"/>
        <v>8200</v>
      </c>
      <c r="L196" s="269">
        <f t="shared" si="75"/>
        <v>1.40999999999999</v>
      </c>
      <c r="M196" s="226">
        <f ca="1" t="shared" si="76"/>
        <v>7.128</v>
      </c>
      <c r="N196" s="280">
        <f ca="1" t="shared" si="81"/>
        <v>0.137490075136718</v>
      </c>
      <c r="O196" s="226">
        <f t="shared" si="48"/>
        <v>3.3</v>
      </c>
      <c r="P196" s="19">
        <f ca="1" t="shared" si="49"/>
        <v>12.6</v>
      </c>
      <c r="Q196" s="226">
        <f ca="1" t="shared" si="47"/>
        <v>2.16</v>
      </c>
      <c r="R196" s="269">
        <f ca="1" t="shared" si="56"/>
        <v>0.335031196687601</v>
      </c>
      <c r="S196" s="266">
        <f ca="1" t="shared" si="57"/>
        <v>31.4744671517193</v>
      </c>
      <c r="T196" s="226">
        <f ca="1">(1+OFFSET('玩法产出(新)'!$C$18,MATCH(X196,'玩法产出(新)'!$B$19:$B$25,0),1)*(1-V196)+OFFSET('玩法产出(新)'!$C$18,1+MATCH(X196,'玩法产出(新)'!$B$19:$B$25,0),1)*(V196))^AA196*(1+OFFSET('玩法产出(新)'!$C$18,MATCH(X196,'玩法产出(新)'!$B$19:$B$25,0),3)*(1-V196)+OFFSET('玩法产出(新)'!$C$18,1+MATCH(X196,'玩法产出(新)'!$B$19:$B$25,0),3)*(V196))^AB196*(1+OFFSET('玩法产出(新)'!$C$18,MATCH(X196,'玩法产出(新)'!$B$19:$B$25,0),4)*(1-V196)+OFFSET('玩法产出(新)'!$C$18,1+MATCH(X196,'玩法产出(新)'!$B$19:$B$25,0),4)*(V196))^AC196*(1+OFFSET('玩法产出(新)'!$C$18,MATCH(X196,'玩法产出(新)'!$B$19:$B$25,0),5)*(1+V196)+OFFSET('玩法产出(新)'!$C$18,1+MATCH(X196,'玩法产出(新)'!$B$19:$B$25,5),1)*(V196))^AD196*(1+OFFSET('玩法产出(新)'!$C$18,MATCH(X196,'玩法产出(新)'!$B$19:$B$25,0),6)*(1+V196)+OFFSET('玩法产出(新)'!$C$18,1+MATCH(X196,'玩法产出(新)'!$B$19:$B$25,0),6)*(V196))^AE196</f>
        <v>8.41082787853995</v>
      </c>
      <c r="U196" s="226">
        <f ca="1" t="shared" si="77"/>
        <v>0.189013659268757</v>
      </c>
      <c r="V196" s="226">
        <f ca="1">COUNTIF($X$124:$X196,X196)/(COUNTIF($X$124:$X$723,X196)+1)</f>
        <v>0.54639175257732</v>
      </c>
      <c r="W196" s="19">
        <v>30</v>
      </c>
      <c r="X196" s="19" t="str">
        <f ca="1" t="shared" si="58"/>
        <v>紫</v>
      </c>
      <c r="Y196" s="19">
        <f t="shared" si="83"/>
        <v>8460</v>
      </c>
      <c r="Z196" s="19">
        <f ca="1" t="shared" si="59"/>
        <v>1.72948453608247</v>
      </c>
      <c r="AA196" s="282">
        <f ca="1" t="shared" si="60"/>
        <v>21.0930072916667</v>
      </c>
      <c r="AB196" s="282">
        <f ca="1" t="shared" si="61"/>
        <v>6.73802083333333</v>
      </c>
      <c r="AC196" s="282">
        <f ca="1" t="shared" si="62"/>
        <v>1.65255</v>
      </c>
      <c r="AD196" s="282">
        <f ca="1" t="shared" si="63"/>
        <v>0.4131375</v>
      </c>
      <c r="AE196" s="282">
        <f ca="1" t="shared" si="64"/>
        <v>0.103284375</v>
      </c>
      <c r="AF196" s="19" t="str">
        <f t="shared" si="65"/>
        <v>红2</v>
      </c>
      <c r="AG196" s="19">
        <f>IFERROR(_xlfn.XLOOKUP(C196+1,[2]基因升级!$E$141:$E$500,[2]基因升级!$D$141:$D$500)-1,AG195)</f>
        <v>66</v>
      </c>
      <c r="AH196" s="19">
        <v>5</v>
      </c>
      <c r="AI196" s="19">
        <f t="shared" si="66"/>
        <v>6.94668959324004</v>
      </c>
      <c r="AJ196" s="19">
        <f t="shared" si="78"/>
        <v>0</v>
      </c>
      <c r="AK196" s="269">
        <v>1.6</v>
      </c>
      <c r="AL196" s="287">
        <f>AL195+0.1</f>
        <v>4.4</v>
      </c>
      <c r="AQ196" s="19">
        <f t="shared" si="67"/>
        <v>1.34675507820826</v>
      </c>
      <c r="AR196" s="19">
        <f t="shared" si="68"/>
        <v>1</v>
      </c>
      <c r="AS196" s="19">
        <f t="shared" si="69"/>
        <v>1</v>
      </c>
      <c r="AT196" s="19">
        <f t="shared" si="70"/>
        <v>1</v>
      </c>
      <c r="AU196" s="19">
        <f t="shared" si="71"/>
        <v>1</v>
      </c>
      <c r="AV196" s="232">
        <f t="shared" si="50"/>
        <v>0.0999999999999996</v>
      </c>
      <c r="AW196" s="232">
        <f t="shared" si="51"/>
        <v>0</v>
      </c>
      <c r="AX196" s="232">
        <f t="shared" si="52"/>
        <v>0</v>
      </c>
      <c r="AY196" s="232">
        <f t="shared" si="53"/>
        <v>0</v>
      </c>
      <c r="AZ196" s="232">
        <f t="shared" si="54"/>
        <v>0</v>
      </c>
    </row>
    <row r="197" spans="1:52">
      <c r="A197" s="279">
        <f ca="1">SUM($N$125:N197)</f>
        <v>24.4043279514126</v>
      </c>
      <c r="C197" s="19">
        <v>74</v>
      </c>
      <c r="D197" s="86">
        <f ca="1" t="shared" si="79"/>
        <v>110.232992095498</v>
      </c>
      <c r="E197" s="251">
        <f ca="1" t="shared" si="55"/>
        <v>0.55793154675637</v>
      </c>
      <c r="F197" s="269">
        <f ca="1" t="shared" si="72"/>
        <v>139.160919031058</v>
      </c>
      <c r="G197" s="283">
        <f ca="1" t="shared" si="73"/>
        <v>77.6422668030362</v>
      </c>
      <c r="H197" s="279">
        <f ca="1" t="shared" si="74"/>
        <v>0.367696412854315</v>
      </c>
      <c r="I197" s="269">
        <f ca="1">SUM($J$125:J197)/SUM($H$125:H197)</f>
        <v>0.639214811909332</v>
      </c>
      <c r="J197" s="284">
        <f t="shared" si="80"/>
        <v>0.231473545374321</v>
      </c>
      <c r="K197" s="19">
        <f t="shared" si="82"/>
        <v>8300</v>
      </c>
      <c r="L197" s="269">
        <f t="shared" si="75"/>
        <v>1.41499999999999</v>
      </c>
      <c r="M197" s="226">
        <f ca="1" t="shared" si="76"/>
        <v>7.194</v>
      </c>
      <c r="N197" s="280">
        <f ca="1" t="shared" si="81"/>
        <v>0.136222867479994</v>
      </c>
      <c r="O197" s="226">
        <f t="shared" si="48"/>
        <v>3.3</v>
      </c>
      <c r="P197" s="19">
        <f ca="1" t="shared" si="49"/>
        <v>12.8</v>
      </c>
      <c r="Q197" s="226">
        <f ca="1" t="shared" si="47"/>
        <v>2.18</v>
      </c>
      <c r="R197" s="269">
        <f ca="1" t="shared" si="56"/>
        <v>0.337056162011271</v>
      </c>
      <c r="S197" s="266">
        <f ca="1" t="shared" si="57"/>
        <v>31.6647022856214</v>
      </c>
      <c r="T197" s="226">
        <f ca="1">(1+OFFSET('玩法产出(新)'!$C$18,MATCH(X197,'玩法产出(新)'!$B$19:$B$25,0),1)*(1-V197)+OFFSET('玩法产出(新)'!$C$18,1+MATCH(X197,'玩法产出(新)'!$B$19:$B$25,0),1)*(V197))^AA197*(1+OFFSET('玩法产出(新)'!$C$18,MATCH(X197,'玩法产出(新)'!$B$19:$B$25,0),3)*(1-V197)+OFFSET('玩法产出(新)'!$C$18,1+MATCH(X197,'玩法产出(新)'!$B$19:$B$25,0),3)*(V197))^AB197*(1+OFFSET('玩法产出(新)'!$C$18,MATCH(X197,'玩法产出(新)'!$B$19:$B$25,0),4)*(1-V197)+OFFSET('玩法产出(新)'!$C$18,1+MATCH(X197,'玩法产出(新)'!$B$19:$B$25,0),4)*(V197))^AC197*(1+OFFSET('玩法产出(新)'!$C$18,MATCH(X197,'玩法产出(新)'!$B$19:$B$25,0),5)*(1+V197)+OFFSET('玩法产出(新)'!$C$18,1+MATCH(X197,'玩法产出(新)'!$B$19:$B$25,5),1)*(V197))^AD197*(1+OFFSET('玩法产出(新)'!$C$18,MATCH(X197,'玩法产出(新)'!$B$19:$B$25,0),6)*(1+V197)+OFFSET('玩法产出(新)'!$C$18,1+MATCH(X197,'玩法产出(新)'!$B$19:$B$25,0),6)*(V197))^AE197</f>
        <v>8.51978376624848</v>
      </c>
      <c r="U197" s="226">
        <f ca="1" t="shared" si="77"/>
        <v>0.190235133902055</v>
      </c>
      <c r="V197" s="226">
        <f ca="1">COUNTIF($X$124:$X197,X197)/(COUNTIF($X$124:$X$723,X197)+1)</f>
        <v>0.556701030927835</v>
      </c>
      <c r="W197" s="19">
        <v>30</v>
      </c>
      <c r="X197" s="19" t="str">
        <f ca="1" t="shared" si="58"/>
        <v>紫</v>
      </c>
      <c r="Y197" s="19">
        <f t="shared" si="83"/>
        <v>8560</v>
      </c>
      <c r="Z197" s="19">
        <f ca="1" t="shared" si="59"/>
        <v>1.73381443298969</v>
      </c>
      <c r="AA197" s="282">
        <f ca="1" t="shared" si="60"/>
        <v>20.9932458333333</v>
      </c>
      <c r="AB197" s="282">
        <f ca="1" t="shared" si="61"/>
        <v>6.81041666666667</v>
      </c>
      <c r="AC197" s="282">
        <f ca="1" t="shared" si="62"/>
        <v>1.6734</v>
      </c>
      <c r="AD197" s="282">
        <f ca="1" t="shared" si="63"/>
        <v>0.41835</v>
      </c>
      <c r="AE197" s="282">
        <f ca="1" t="shared" si="64"/>
        <v>0.1045875</v>
      </c>
      <c r="AF197" s="19" t="str">
        <f t="shared" si="65"/>
        <v>红2</v>
      </c>
      <c r="AG197" s="19">
        <f>IFERROR(_xlfn.XLOOKUP(C197+1,[2]基因升级!$E$141:$E$500,[2]基因升级!$D$141:$D$500)-1,AG196)</f>
        <v>67</v>
      </c>
      <c r="AH197" s="19">
        <v>5</v>
      </c>
      <c r="AI197" s="19">
        <f t="shared" si="66"/>
        <v>6.94668959324004</v>
      </c>
      <c r="AJ197" s="19">
        <f t="shared" si="78"/>
        <v>0</v>
      </c>
      <c r="AK197" s="269">
        <v>1.6</v>
      </c>
      <c r="AL197" s="287">
        <f>AL196+0.1</f>
        <v>4.5</v>
      </c>
      <c r="AQ197" s="19">
        <f t="shared" si="67"/>
        <v>1.35589793584184</v>
      </c>
      <c r="AR197" s="19">
        <f t="shared" si="68"/>
        <v>1</v>
      </c>
      <c r="AS197" s="19">
        <f t="shared" si="69"/>
        <v>1</v>
      </c>
      <c r="AT197" s="19">
        <f t="shared" si="70"/>
        <v>1</v>
      </c>
      <c r="AU197" s="19">
        <f t="shared" si="71"/>
        <v>1</v>
      </c>
      <c r="AV197" s="232">
        <f t="shared" si="50"/>
        <v>0.0999999999999996</v>
      </c>
      <c r="AW197" s="232">
        <f t="shared" si="51"/>
        <v>0</v>
      </c>
      <c r="AX197" s="232">
        <f t="shared" si="52"/>
        <v>0</v>
      </c>
      <c r="AY197" s="232">
        <f t="shared" si="53"/>
        <v>0</v>
      </c>
      <c r="AZ197" s="232">
        <f t="shared" si="54"/>
        <v>0</v>
      </c>
    </row>
    <row r="198" spans="1:52">
      <c r="A198" s="279">
        <f ca="1">SUM($N$125:N198)</f>
        <v>24.5393067570683</v>
      </c>
      <c r="C198" s="19">
        <v>75</v>
      </c>
      <c r="D198" s="86">
        <f ca="1" t="shared" si="79"/>
        <v>110.788568429405</v>
      </c>
      <c r="E198" s="251">
        <f ca="1" t="shared" si="55"/>
        <v>0.555576333906888</v>
      </c>
      <c r="F198" s="269">
        <f ca="1" t="shared" si="72"/>
        <v>140.406248845431</v>
      </c>
      <c r="G198" s="283">
        <f ca="1" t="shared" si="73"/>
        <v>78.0063889911625</v>
      </c>
      <c r="H198" s="279">
        <f ca="1" t="shared" si="74"/>
        <v>0.364122188126331</v>
      </c>
      <c r="I198" s="269">
        <f ca="1">SUM($J$125:J198)/SUM($H$125:H198)</f>
        <v>0.639161744637594</v>
      </c>
      <c r="J198" s="284">
        <f t="shared" si="80"/>
        <v>0.229143382470681</v>
      </c>
      <c r="K198" s="19">
        <f t="shared" si="82"/>
        <v>8400</v>
      </c>
      <c r="L198" s="269">
        <f t="shared" si="75"/>
        <v>1.41999999999999</v>
      </c>
      <c r="M198" s="226">
        <f ca="1" t="shared" si="76"/>
        <v>7.26</v>
      </c>
      <c r="N198" s="280">
        <f ca="1" t="shared" si="81"/>
        <v>0.134978805655678</v>
      </c>
      <c r="O198" s="226">
        <f t="shared" si="48"/>
        <v>3.3</v>
      </c>
      <c r="P198" s="19">
        <f ca="1" t="shared" si="49"/>
        <v>13</v>
      </c>
      <c r="Q198" s="226">
        <f ca="1" t="shared" si="47"/>
        <v>2.2</v>
      </c>
      <c r="R198" s="269">
        <f ca="1" t="shared" si="56"/>
        <v>0.339094103154562</v>
      </c>
      <c r="S198" s="266">
        <f ca="1" t="shared" si="57"/>
        <v>31.8561564314019</v>
      </c>
      <c r="T198" s="226">
        <f ca="1">(1+OFFSET('玩法产出(新)'!$C$18,MATCH(X198,'玩法产出(新)'!$B$19:$B$25,0),1)*(1-V198)+OFFSET('玩法产出(新)'!$C$18,1+MATCH(X198,'玩法产出(新)'!$B$19:$B$25,0),1)*(V198))^AA198*(1+OFFSET('玩法产出(新)'!$C$18,MATCH(X198,'玩法产出(新)'!$B$19:$B$25,0),3)*(1-V198)+OFFSET('玩法产出(新)'!$C$18,1+MATCH(X198,'玩法产出(新)'!$B$19:$B$25,0),3)*(V198))^AB198*(1+OFFSET('玩法产出(新)'!$C$18,MATCH(X198,'玩法产出(新)'!$B$19:$B$25,0),4)*(1-V198)+OFFSET('玩法产出(新)'!$C$18,1+MATCH(X198,'玩法产出(新)'!$B$19:$B$25,0),4)*(V198))^AC198*(1+OFFSET('玩法产出(新)'!$C$18,MATCH(X198,'玩法产出(新)'!$B$19:$B$25,0),5)*(1+V198)+OFFSET('玩法产出(新)'!$C$18,1+MATCH(X198,'玩法产出(新)'!$B$19:$B$25,5),1)*(V198))^AD198*(1+OFFSET('玩法产出(新)'!$C$18,MATCH(X198,'玩法产出(新)'!$B$19:$B$25,0),6)*(1+V198)+OFFSET('玩法产出(新)'!$C$18,1+MATCH(X198,'玩法产出(新)'!$B$19:$B$25,0),6)*(V198))^AE198</f>
        <v>8.63086291044105</v>
      </c>
      <c r="U198" s="226">
        <f ca="1" t="shared" si="77"/>
        <v>0.191454145780529</v>
      </c>
      <c r="V198" s="226">
        <f ca="1">COUNTIF($X$124:$X198,X198)/(COUNTIF($X$124:$X$723,X198)+1)</f>
        <v>0.56701030927835</v>
      </c>
      <c r="W198" s="19">
        <v>30</v>
      </c>
      <c r="X198" s="19" t="str">
        <f ca="1" t="shared" si="58"/>
        <v>紫</v>
      </c>
      <c r="Y198" s="19">
        <f t="shared" si="83"/>
        <v>8660</v>
      </c>
      <c r="Z198" s="19">
        <f ca="1" t="shared" si="59"/>
        <v>1.73814432989691</v>
      </c>
      <c r="AA198" s="282">
        <f ca="1" t="shared" si="60"/>
        <v>20.893484375</v>
      </c>
      <c r="AB198" s="282">
        <f ca="1" t="shared" si="61"/>
        <v>6.8828125</v>
      </c>
      <c r="AC198" s="282">
        <f ca="1" t="shared" si="62"/>
        <v>1.69425</v>
      </c>
      <c r="AD198" s="282">
        <f ca="1" t="shared" si="63"/>
        <v>0.4235625</v>
      </c>
      <c r="AE198" s="282">
        <f ca="1" t="shared" si="64"/>
        <v>0.105890625</v>
      </c>
      <c r="AF198" s="19" t="str">
        <f t="shared" si="65"/>
        <v>红2</v>
      </c>
      <c r="AG198" s="19">
        <f>IFERROR(_xlfn.XLOOKUP(C198+1,[2]基因升级!$E$141:$E$500,[2]基因升级!$D$141:$D$500)-1,AG197)</f>
        <v>67</v>
      </c>
      <c r="AH198" s="19">
        <v>5</v>
      </c>
      <c r="AI198" s="19">
        <f t="shared" si="66"/>
        <v>6.94668959324004</v>
      </c>
      <c r="AJ198" s="19">
        <f t="shared" si="78"/>
        <v>0</v>
      </c>
      <c r="AK198" s="269">
        <v>1.6</v>
      </c>
      <c r="AL198" s="287">
        <f t="shared" ref="AL198:AL207" si="84">AL197+0.05</f>
        <v>4.55</v>
      </c>
      <c r="AQ198" s="19">
        <f t="shared" si="67"/>
        <v>1.36049261429369</v>
      </c>
      <c r="AR198" s="19">
        <f t="shared" si="68"/>
        <v>1</v>
      </c>
      <c r="AS198" s="19">
        <f t="shared" si="69"/>
        <v>1</v>
      </c>
      <c r="AT198" s="19">
        <f t="shared" si="70"/>
        <v>1</v>
      </c>
      <c r="AU198" s="19">
        <f t="shared" si="71"/>
        <v>1</v>
      </c>
      <c r="AV198" s="232">
        <f t="shared" si="50"/>
        <v>0.0499999999999998</v>
      </c>
      <c r="AW198" s="232">
        <f t="shared" si="51"/>
        <v>0</v>
      </c>
      <c r="AX198" s="232">
        <f t="shared" si="52"/>
        <v>0</v>
      </c>
      <c r="AY198" s="232">
        <f t="shared" si="53"/>
        <v>0</v>
      </c>
      <c r="AZ198" s="232">
        <f t="shared" si="54"/>
        <v>0</v>
      </c>
    </row>
    <row r="199" spans="1:52">
      <c r="A199" s="279">
        <f ca="1">SUM($N$125:N199)</f>
        <v>24.673064018321</v>
      </c>
      <c r="C199" s="19">
        <v>76</v>
      </c>
      <c r="D199" s="86">
        <f ca="1" t="shared" si="79"/>
        <v>111.341861697908</v>
      </c>
      <c r="E199" s="251">
        <f ca="1" t="shared" si="55"/>
        <v>0.553293268503101</v>
      </c>
      <c r="F199" s="269">
        <f ca="1" t="shared" si="72"/>
        <v>141.637384757919</v>
      </c>
      <c r="G199" s="283">
        <f ca="1" t="shared" si="73"/>
        <v>78.3670115549403</v>
      </c>
      <c r="H199" s="279">
        <f ca="1" t="shared" si="74"/>
        <v>0.360622563777767</v>
      </c>
      <c r="I199" s="269">
        <f ca="1">SUM($J$125:J199)/SUM($H$125:H199)</f>
        <v>0.639108636502365</v>
      </c>
      <c r="J199" s="284">
        <f t="shared" si="80"/>
        <v>0.226865302525034</v>
      </c>
      <c r="K199" s="19">
        <f t="shared" si="82"/>
        <v>8500</v>
      </c>
      <c r="L199" s="269">
        <f t="shared" si="75"/>
        <v>1.42499999999999</v>
      </c>
      <c r="M199" s="226">
        <f ca="1" t="shared" si="76"/>
        <v>7.326</v>
      </c>
      <c r="N199" s="280">
        <f ca="1" t="shared" si="81"/>
        <v>0.133757261252715</v>
      </c>
      <c r="O199" s="226">
        <f t="shared" si="48"/>
        <v>3.3</v>
      </c>
      <c r="P199" s="19">
        <f ca="1" t="shared" si="49"/>
        <v>13.2</v>
      </c>
      <c r="Q199" s="226">
        <f ca="1" t="shared" si="47"/>
        <v>2.22</v>
      </c>
      <c r="R199" s="269">
        <f ca="1" t="shared" si="56"/>
        <v>0.341144994007126</v>
      </c>
      <c r="S199" s="266">
        <f ca="1" t="shared" si="57"/>
        <v>32.0488271361272</v>
      </c>
      <c r="T199" s="226">
        <f ca="1">(1+OFFSET('玩法产出(新)'!$C$18,MATCH(X199,'玩法产出(新)'!$B$19:$B$25,0),1)*(1-V199)+OFFSET('玩法产出(新)'!$C$18,1+MATCH(X199,'玩法产出(新)'!$B$19:$B$25,0),1)*(V199))^AA199*(1+OFFSET('玩法产出(新)'!$C$18,MATCH(X199,'玩法产出(新)'!$B$19:$B$25,0),3)*(1-V199)+OFFSET('玩法产出(新)'!$C$18,1+MATCH(X199,'玩法产出(新)'!$B$19:$B$25,0),3)*(V199))^AB199*(1+OFFSET('玩法产出(新)'!$C$18,MATCH(X199,'玩法产出(新)'!$B$19:$B$25,0),4)*(1-V199)+OFFSET('玩法产出(新)'!$C$18,1+MATCH(X199,'玩法产出(新)'!$B$19:$B$25,0),4)*(V199))^AC199*(1+OFFSET('玩法产出(新)'!$C$18,MATCH(X199,'玩法产出(新)'!$B$19:$B$25,0),5)*(1+V199)+OFFSET('玩法产出(新)'!$C$18,1+MATCH(X199,'玩法产出(新)'!$B$19:$B$25,5),1)*(V199))^AD199*(1+OFFSET('玩法产出(新)'!$C$18,MATCH(X199,'玩法产出(新)'!$B$19:$B$25,0),6)*(1+V199)+OFFSET('玩法产出(新)'!$C$18,1+MATCH(X199,'玩法产出(新)'!$B$19:$B$25,0),6)*(V199))^AE199</f>
        <v>8.74410998558348</v>
      </c>
      <c r="U199" s="226">
        <f ca="1" t="shared" si="77"/>
        <v>0.192670704725352</v>
      </c>
      <c r="V199" s="226">
        <f ca="1">COUNTIF($X$124:$X199,X199)/(COUNTIF($X$124:$X$723,X199)+1)</f>
        <v>0.577319587628866</v>
      </c>
      <c r="W199" s="19">
        <v>30</v>
      </c>
      <c r="X199" s="19" t="str">
        <f ca="1" t="shared" si="58"/>
        <v>紫</v>
      </c>
      <c r="Y199" s="19">
        <f t="shared" si="83"/>
        <v>8760</v>
      </c>
      <c r="Z199" s="19">
        <f ca="1" t="shared" si="59"/>
        <v>1.74247422680412</v>
      </c>
      <c r="AA199" s="282">
        <f ca="1" t="shared" si="60"/>
        <v>20.7937229166667</v>
      </c>
      <c r="AB199" s="282">
        <f ca="1" t="shared" si="61"/>
        <v>6.95520833333333</v>
      </c>
      <c r="AC199" s="282">
        <f ca="1" t="shared" si="62"/>
        <v>1.7151</v>
      </c>
      <c r="AD199" s="282">
        <f ca="1" t="shared" si="63"/>
        <v>0.428775</v>
      </c>
      <c r="AE199" s="282">
        <f ca="1" t="shared" si="64"/>
        <v>0.10719375</v>
      </c>
      <c r="AF199" s="19" t="str">
        <f t="shared" si="65"/>
        <v>红2</v>
      </c>
      <c r="AG199" s="19">
        <f>IFERROR(_xlfn.XLOOKUP(C199+1,[2]基因升级!$E$141:$E$500,[2]基因升级!$D$141:$D$500)-1,AG198)</f>
        <v>67</v>
      </c>
      <c r="AH199" s="19">
        <v>5</v>
      </c>
      <c r="AI199" s="19">
        <f t="shared" si="66"/>
        <v>6.94668959324004</v>
      </c>
      <c r="AJ199" s="19">
        <f t="shared" si="78"/>
        <v>0</v>
      </c>
      <c r="AK199" s="269">
        <v>1.6</v>
      </c>
      <c r="AL199" s="287">
        <f t="shared" si="84"/>
        <v>4.6</v>
      </c>
      <c r="AQ199" s="19">
        <f t="shared" si="67"/>
        <v>1.3651028625532</v>
      </c>
      <c r="AR199" s="19">
        <f t="shared" si="68"/>
        <v>1</v>
      </c>
      <c r="AS199" s="19">
        <f t="shared" si="69"/>
        <v>1</v>
      </c>
      <c r="AT199" s="19">
        <f t="shared" si="70"/>
        <v>1</v>
      </c>
      <c r="AU199" s="19">
        <f t="shared" si="71"/>
        <v>1</v>
      </c>
      <c r="AV199" s="232">
        <f t="shared" si="50"/>
        <v>0.0499999999999998</v>
      </c>
      <c r="AW199" s="232">
        <f t="shared" si="51"/>
        <v>0</v>
      </c>
      <c r="AX199" s="232">
        <f t="shared" si="52"/>
        <v>0</v>
      </c>
      <c r="AY199" s="232">
        <f t="shared" si="53"/>
        <v>0</v>
      </c>
      <c r="AZ199" s="232">
        <f t="shared" si="54"/>
        <v>0</v>
      </c>
    </row>
    <row r="200" spans="1:52">
      <c r="A200" s="279">
        <f ca="1">SUM($N$125:N200)</f>
        <v>24.8056216467257</v>
      </c>
      <c r="C200" s="19">
        <v>77</v>
      </c>
      <c r="D200" s="86">
        <f ca="1" t="shared" si="79"/>
        <v>111.892941656679</v>
      </c>
      <c r="E200" s="251">
        <f ca="1" t="shared" si="55"/>
        <v>0.55107995877143</v>
      </c>
      <c r="F200" s="269">
        <f ca="1" t="shared" si="72"/>
        <v>142.854417839332</v>
      </c>
      <c r="G200" s="283">
        <f ca="1" t="shared" si="73"/>
        <v>78.724206693216</v>
      </c>
      <c r="H200" s="279">
        <f ca="1" t="shared" si="74"/>
        <v>0.357195138275742</v>
      </c>
      <c r="I200" s="269">
        <f ca="1">SUM($J$125:J200)/SUM($H$125:H200)</f>
        <v>0.639055540394119</v>
      </c>
      <c r="J200" s="284">
        <f t="shared" si="80"/>
        <v>0.224637509870973</v>
      </c>
      <c r="K200" s="19">
        <f t="shared" si="82"/>
        <v>8600</v>
      </c>
      <c r="L200" s="269">
        <f t="shared" si="75"/>
        <v>1.42999999999999</v>
      </c>
      <c r="M200" s="226">
        <f ca="1" t="shared" si="76"/>
        <v>7.392</v>
      </c>
      <c r="N200" s="280">
        <f ca="1" t="shared" si="81"/>
        <v>0.132557628404761</v>
      </c>
      <c r="O200" s="226">
        <f t="shared" si="48"/>
        <v>3.3</v>
      </c>
      <c r="P200" s="19">
        <f ca="1" t="shared" si="49"/>
        <v>13.4</v>
      </c>
      <c r="Q200" s="226">
        <f ca="1" t="shared" si="47"/>
        <v>2.24</v>
      </c>
      <c r="R200" s="269">
        <f ca="1" t="shared" si="56"/>
        <v>0.343208808562496</v>
      </c>
      <c r="S200" s="266">
        <f ca="1" t="shared" si="57"/>
        <v>32.2427119566229</v>
      </c>
      <c r="T200" s="226">
        <f ca="1">(1+OFFSET('玩法产出(新)'!$C$18,MATCH(X200,'玩法产出(新)'!$B$19:$B$25,0),1)*(1-V200)+OFFSET('玩法产出(新)'!$C$18,1+MATCH(X200,'玩法产出(新)'!$B$19:$B$25,0),1)*(V200))^AA200*(1+OFFSET('玩法产出(新)'!$C$18,MATCH(X200,'玩法产出(新)'!$B$19:$B$25,0),3)*(1-V200)+OFFSET('玩法产出(新)'!$C$18,1+MATCH(X200,'玩法产出(新)'!$B$19:$B$25,0),3)*(V200))^AB200*(1+OFFSET('玩法产出(新)'!$C$18,MATCH(X200,'玩法产出(新)'!$B$19:$B$25,0),4)*(1-V200)+OFFSET('玩法产出(新)'!$C$18,1+MATCH(X200,'玩法产出(新)'!$B$19:$B$25,0),4)*(V200))^AC200*(1+OFFSET('玩法产出(新)'!$C$18,MATCH(X200,'玩法产出(新)'!$B$19:$B$25,0),5)*(1+V200)+OFFSET('玩法产出(新)'!$C$18,1+MATCH(X200,'玩法产出(新)'!$B$19:$B$25,5),1)*(V200))^AD200*(1+OFFSET('玩法产出(新)'!$C$18,MATCH(X200,'玩法产出(新)'!$B$19:$B$25,0),6)*(1+V200)+OFFSET('玩法产出(新)'!$C$18,1+MATCH(X200,'玩法产出(新)'!$B$19:$B$25,0),6)*(V200))^AE200</f>
        <v>8.85957073895689</v>
      </c>
      <c r="U200" s="226">
        <f ca="1" t="shared" si="77"/>
        <v>0.193884820495696</v>
      </c>
      <c r="V200" s="226">
        <f ca="1">COUNTIF($X$124:$X200,X200)/(COUNTIF($X$124:$X$723,X200)+1)</f>
        <v>0.587628865979381</v>
      </c>
      <c r="W200" s="19">
        <v>30</v>
      </c>
      <c r="X200" s="19" t="str">
        <f ca="1" t="shared" si="58"/>
        <v>紫</v>
      </c>
      <c r="Y200" s="19">
        <f t="shared" si="83"/>
        <v>8860</v>
      </c>
      <c r="Z200" s="19">
        <f ca="1" t="shared" si="59"/>
        <v>1.74680412371134</v>
      </c>
      <c r="AA200" s="282">
        <f ca="1" t="shared" si="60"/>
        <v>20.6939614583333</v>
      </c>
      <c r="AB200" s="282">
        <f ca="1" t="shared" si="61"/>
        <v>7.02760416666667</v>
      </c>
      <c r="AC200" s="282">
        <f ca="1" t="shared" si="62"/>
        <v>1.73595</v>
      </c>
      <c r="AD200" s="282">
        <f ca="1" t="shared" si="63"/>
        <v>0.4339875</v>
      </c>
      <c r="AE200" s="282">
        <f ca="1" t="shared" si="64"/>
        <v>0.108496875</v>
      </c>
      <c r="AF200" s="19" t="str">
        <f t="shared" si="65"/>
        <v>红2</v>
      </c>
      <c r="AG200" s="19">
        <f>IFERROR(_xlfn.XLOOKUP(C200+1,[2]基因升级!$E$141:$E$500,[2]基因升级!$D$141:$D$500)-1,AG199)</f>
        <v>68</v>
      </c>
      <c r="AH200" s="19">
        <v>5</v>
      </c>
      <c r="AI200" s="19">
        <f t="shared" si="66"/>
        <v>6.94668959324004</v>
      </c>
      <c r="AJ200" s="19">
        <f t="shared" si="78"/>
        <v>0</v>
      </c>
      <c r="AK200" s="269">
        <v>1.6</v>
      </c>
      <c r="AL200" s="287">
        <f t="shared" si="84"/>
        <v>4.65</v>
      </c>
      <c r="AQ200" s="19">
        <f t="shared" si="67"/>
        <v>1.36972873338119</v>
      </c>
      <c r="AR200" s="19">
        <f t="shared" si="68"/>
        <v>1</v>
      </c>
      <c r="AS200" s="19">
        <f t="shared" si="69"/>
        <v>1</v>
      </c>
      <c r="AT200" s="19">
        <f t="shared" si="70"/>
        <v>1</v>
      </c>
      <c r="AU200" s="19">
        <f t="shared" si="71"/>
        <v>1</v>
      </c>
      <c r="AV200" s="232">
        <f t="shared" si="50"/>
        <v>0.0499999999999998</v>
      </c>
      <c r="AW200" s="232">
        <f t="shared" si="51"/>
        <v>0</v>
      </c>
      <c r="AX200" s="232">
        <f t="shared" si="52"/>
        <v>0</v>
      </c>
      <c r="AY200" s="232">
        <f t="shared" si="53"/>
        <v>0</v>
      </c>
      <c r="AZ200" s="232">
        <f t="shared" si="54"/>
        <v>0</v>
      </c>
    </row>
    <row r="201" spans="1:52">
      <c r="A201" s="279">
        <f ca="1">SUM($N$125:N201)</f>
        <v>24.9370009695138</v>
      </c>
      <c r="C201" s="19">
        <v>78</v>
      </c>
      <c r="D201" s="86">
        <f ca="1" t="shared" si="79"/>
        <v>112.4418757737</v>
      </c>
      <c r="E201" s="251">
        <f ca="1" t="shared" si="55"/>
        <v>0.548934117020719</v>
      </c>
      <c r="F201" s="269">
        <f ca="1" t="shared" si="72"/>
        <v>144.057441240189</v>
      </c>
      <c r="G201" s="283">
        <f ca="1" t="shared" si="73"/>
        <v>79.0780443074474</v>
      </c>
      <c r="H201" s="279">
        <f ca="1" t="shared" si="74"/>
        <v>0.353837614231324</v>
      </c>
      <c r="I201" s="269">
        <f ca="1">SUM($J$125:J201)/SUM($H$125:H201)</f>
        <v>0.639002504782474</v>
      </c>
      <c r="J201" s="284">
        <f t="shared" si="80"/>
        <v>0.222458291443246</v>
      </c>
      <c r="K201" s="19">
        <f t="shared" si="82"/>
        <v>8700</v>
      </c>
      <c r="L201" s="269">
        <f t="shared" si="75"/>
        <v>1.43499999999999</v>
      </c>
      <c r="M201" s="226">
        <f ca="1" t="shared" si="76"/>
        <v>7.458</v>
      </c>
      <c r="N201" s="280">
        <f ca="1" t="shared" si="81"/>
        <v>0.131379322788074</v>
      </c>
      <c r="O201" s="226">
        <f t="shared" si="48"/>
        <v>3.3</v>
      </c>
      <c r="P201" s="19">
        <f ca="1" t="shared" si="49"/>
        <v>13.6</v>
      </c>
      <c r="Q201" s="226">
        <f ca="1" t="shared" ref="Q201:Q264" si="85">_xlfn.XLOOKUP(O201,$D$76:$D$95,$E$76:$E$95)*(P201-1)+1</f>
        <v>2.26</v>
      </c>
      <c r="R201" s="269">
        <f ca="1" t="shared" si="56"/>
        <v>0.345285520917435</v>
      </c>
      <c r="S201" s="266">
        <f ca="1" t="shared" si="57"/>
        <v>32.4378084594123</v>
      </c>
      <c r="T201" s="226">
        <f ca="1">(1+OFFSET('玩法产出(新)'!$C$18,MATCH(X201,'玩法产出(新)'!$B$19:$B$25,0),1)*(1-V201)+OFFSET('玩法产出(新)'!$C$18,1+MATCH(X201,'玩法产出(新)'!$B$19:$B$25,0),1)*(V201))^AA201*(1+OFFSET('玩法产出(新)'!$C$18,MATCH(X201,'玩法产出(新)'!$B$19:$B$25,0),3)*(1-V201)+OFFSET('玩法产出(新)'!$C$18,1+MATCH(X201,'玩法产出(新)'!$B$19:$B$25,0),3)*(V201))^AB201*(1+OFFSET('玩法产出(新)'!$C$18,MATCH(X201,'玩法产出(新)'!$B$19:$B$25,0),4)*(1-V201)+OFFSET('玩法产出(新)'!$C$18,1+MATCH(X201,'玩法产出(新)'!$B$19:$B$25,0),4)*(V201))^AC201*(1+OFFSET('玩法产出(新)'!$C$18,MATCH(X201,'玩法产出(新)'!$B$19:$B$25,0),5)*(1+V201)+OFFSET('玩法产出(新)'!$C$18,1+MATCH(X201,'玩法产出(新)'!$B$19:$B$25,5),1)*(V201))^AD201*(1+OFFSET('玩法产出(新)'!$C$18,MATCH(X201,'玩法产出(新)'!$B$19:$B$25,0),6)*(1+V201)+OFFSET('玩法产出(新)'!$C$18,1+MATCH(X201,'玩法产出(新)'!$B$19:$B$25,0),6)*(V201))^AE201</f>
        <v>8.97729201795744</v>
      </c>
      <c r="U201" s="226">
        <f ca="1" t="shared" si="77"/>
        <v>0.195096502789399</v>
      </c>
      <c r="V201" s="226">
        <f ca="1">COUNTIF($X$124:$X201,X201)/(COUNTIF($X$124:$X$723,X201)+1)</f>
        <v>0.597938144329897</v>
      </c>
      <c r="W201" s="19">
        <v>30</v>
      </c>
      <c r="X201" s="19" t="str">
        <f ca="1" t="shared" si="58"/>
        <v>紫</v>
      </c>
      <c r="Y201" s="19">
        <f t="shared" si="83"/>
        <v>8960</v>
      </c>
      <c r="Z201" s="19">
        <f ca="1" t="shared" si="59"/>
        <v>1.75113402061856</v>
      </c>
      <c r="AA201" s="282">
        <f ca="1" t="shared" si="60"/>
        <v>20.5942</v>
      </c>
      <c r="AB201" s="282">
        <f ca="1" t="shared" si="61"/>
        <v>7.1</v>
      </c>
      <c r="AC201" s="282">
        <f ca="1" t="shared" si="62"/>
        <v>1.7568</v>
      </c>
      <c r="AD201" s="282">
        <f ca="1" t="shared" si="63"/>
        <v>0.4392</v>
      </c>
      <c r="AE201" s="282">
        <f ca="1" t="shared" si="64"/>
        <v>0.1098</v>
      </c>
      <c r="AF201" s="19" t="str">
        <f t="shared" si="65"/>
        <v>红2</v>
      </c>
      <c r="AG201" s="19">
        <f>IFERROR(_xlfn.XLOOKUP(C201+1,[2]基因升级!$E$141:$E$500,[2]基因升级!$D$141:$D$500)-1,AG200)</f>
        <v>68</v>
      </c>
      <c r="AH201" s="19">
        <v>5</v>
      </c>
      <c r="AI201" s="19">
        <f t="shared" si="66"/>
        <v>6.94668959324004</v>
      </c>
      <c r="AJ201" s="19">
        <f t="shared" si="78"/>
        <v>0</v>
      </c>
      <c r="AK201" s="269">
        <v>1.6</v>
      </c>
      <c r="AL201" s="287">
        <f t="shared" si="84"/>
        <v>4.7</v>
      </c>
      <c r="AQ201" s="19">
        <f t="shared" si="67"/>
        <v>1.37437027971722</v>
      </c>
      <c r="AR201" s="19">
        <f t="shared" si="68"/>
        <v>1</v>
      </c>
      <c r="AS201" s="19">
        <f t="shared" si="69"/>
        <v>1</v>
      </c>
      <c r="AT201" s="19">
        <f t="shared" si="70"/>
        <v>1</v>
      </c>
      <c r="AU201" s="19">
        <f t="shared" si="71"/>
        <v>1</v>
      </c>
      <c r="AV201" s="232">
        <f t="shared" si="50"/>
        <v>0.0499999999999998</v>
      </c>
      <c r="AW201" s="232">
        <f t="shared" si="51"/>
        <v>0</v>
      </c>
      <c r="AX201" s="232">
        <f t="shared" si="52"/>
        <v>0</v>
      </c>
      <c r="AY201" s="232">
        <f t="shared" si="53"/>
        <v>0</v>
      </c>
      <c r="AZ201" s="232">
        <f t="shared" si="54"/>
        <v>0</v>
      </c>
    </row>
    <row r="202" spans="1:52">
      <c r="A202" s="279">
        <f ca="1">SUM($N$125:N202)</f>
        <v>25.0672227501863</v>
      </c>
      <c r="C202" s="19">
        <v>79</v>
      </c>
      <c r="D202" s="86">
        <f ca="1" t="shared" si="79"/>
        <v>112.988729327681</v>
      </c>
      <c r="E202" s="251">
        <f ca="1" t="shared" si="55"/>
        <v>0.546853553980853</v>
      </c>
      <c r="F202" s="269">
        <f ca="1" t="shared" si="72"/>
        <v>145.246550053446</v>
      </c>
      <c r="G202" s="283">
        <f ca="1" t="shared" si="73"/>
        <v>79.4285921001849</v>
      </c>
      <c r="H202" s="279">
        <f ca="1" t="shared" si="74"/>
        <v>0.350547792737544</v>
      </c>
      <c r="I202" s="269">
        <f ca="1">SUM($J$125:J202)/SUM($H$125:H202)</f>
        <v>0.63894957406</v>
      </c>
      <c r="J202" s="284">
        <f t="shared" si="80"/>
        <v>0.220326012065065</v>
      </c>
      <c r="K202" s="19">
        <f t="shared" si="82"/>
        <v>8800</v>
      </c>
      <c r="L202" s="269">
        <f t="shared" si="75"/>
        <v>1.43999999999999</v>
      </c>
      <c r="M202" s="226">
        <f ca="1" t="shared" si="76"/>
        <v>7.52399999999999</v>
      </c>
      <c r="N202" s="280">
        <f ca="1" t="shared" si="81"/>
        <v>0.130221780672496</v>
      </c>
      <c r="O202" s="226">
        <f t="shared" ref="O202:O265" si="86">IF(MOD(C202,60)=0,_xlfn.XLOOKUP(_xlfn.XLOOKUP(O201,$D$76:$D$95,$C$76:$C$95)+1,$C$76:$C$95,$D$76:$D$95),O201)</f>
        <v>3.3</v>
      </c>
      <c r="P202" s="19">
        <f ca="1" t="shared" si="49"/>
        <v>13.8</v>
      </c>
      <c r="Q202" s="226">
        <f ca="1" t="shared" si="85"/>
        <v>2.28</v>
      </c>
      <c r="R202" s="269">
        <f ca="1" t="shared" si="56"/>
        <v>0.347375105271285</v>
      </c>
      <c r="S202" s="266">
        <f ca="1" t="shared" si="57"/>
        <v>32.6341142206556</v>
      </c>
      <c r="T202" s="226">
        <f ca="1">(1+OFFSET('玩法产出(新)'!$C$18,MATCH(X202,'玩法产出(新)'!$B$19:$B$25,0),1)*(1-V202)+OFFSET('玩法产出(新)'!$C$18,1+MATCH(X202,'玩法产出(新)'!$B$19:$B$25,0),1)*(V202))^AA202*(1+OFFSET('玩法产出(新)'!$C$18,MATCH(X202,'玩法产出(新)'!$B$19:$B$25,0),3)*(1-V202)+OFFSET('玩法产出(新)'!$C$18,1+MATCH(X202,'玩法产出(新)'!$B$19:$B$25,0),3)*(V202))^AB202*(1+OFFSET('玩法产出(新)'!$C$18,MATCH(X202,'玩法产出(新)'!$B$19:$B$25,0),4)*(1-V202)+OFFSET('玩法产出(新)'!$C$18,1+MATCH(X202,'玩法产出(新)'!$B$19:$B$25,0),4)*(V202))^AC202*(1+OFFSET('玩法产出(新)'!$C$18,MATCH(X202,'玩法产出(新)'!$B$19:$B$25,0),5)*(1+V202)+OFFSET('玩法产出(新)'!$C$18,1+MATCH(X202,'玩法产出(新)'!$B$19:$B$25,5),1)*(V202))^AD202*(1+OFFSET('玩法产出(新)'!$C$18,MATCH(X202,'玩法产出(新)'!$B$19:$B$25,0),6)*(1+V202)+OFFSET('玩法产出(新)'!$C$18,1+MATCH(X202,'玩法产出(新)'!$B$19:$B$25,0),6)*(V202))^AE202</f>
        <v>9.09732179814572</v>
      </c>
      <c r="U202" s="226">
        <f ca="1" t="shared" si="77"/>
        <v>0.196305761243291</v>
      </c>
      <c r="V202" s="226">
        <f ca="1">COUNTIF($X$124:$X202,X202)/(COUNTIF($X$124:$X$723,X202)+1)</f>
        <v>0.608247422680412</v>
      </c>
      <c r="W202" s="19">
        <v>30</v>
      </c>
      <c r="X202" s="19" t="str">
        <f ca="1" t="shared" si="58"/>
        <v>紫</v>
      </c>
      <c r="Y202" s="19">
        <f t="shared" si="83"/>
        <v>9060</v>
      </c>
      <c r="Z202" s="19">
        <f ca="1" t="shared" si="59"/>
        <v>1.75546391752577</v>
      </c>
      <c r="AA202" s="282">
        <f ca="1" t="shared" si="60"/>
        <v>20.4944385416667</v>
      </c>
      <c r="AB202" s="282">
        <f ca="1" t="shared" si="61"/>
        <v>7.17239583333333</v>
      </c>
      <c r="AC202" s="282">
        <f ca="1" t="shared" si="62"/>
        <v>1.77765</v>
      </c>
      <c r="AD202" s="282">
        <f ca="1" t="shared" si="63"/>
        <v>0.4444125</v>
      </c>
      <c r="AE202" s="282">
        <f ca="1" t="shared" si="64"/>
        <v>0.111103125</v>
      </c>
      <c r="AF202" s="19" t="str">
        <f t="shared" si="65"/>
        <v>红2</v>
      </c>
      <c r="AG202" s="19">
        <f>IFERROR(_xlfn.XLOOKUP(C202+1,[2]基因升级!$E$141:$E$500,[2]基因升级!$D$141:$D$500)-1,AG201)</f>
        <v>68</v>
      </c>
      <c r="AH202" s="19">
        <v>5</v>
      </c>
      <c r="AI202" s="19">
        <f t="shared" si="66"/>
        <v>6.94668959324004</v>
      </c>
      <c r="AJ202" s="19">
        <f t="shared" si="78"/>
        <v>0</v>
      </c>
      <c r="AK202" s="269">
        <v>1.6</v>
      </c>
      <c r="AL202" s="287">
        <f t="shared" si="84"/>
        <v>4.75</v>
      </c>
      <c r="AQ202" s="19">
        <f t="shared" si="67"/>
        <v>1.3790275546803</v>
      </c>
      <c r="AR202" s="19">
        <f t="shared" si="68"/>
        <v>1</v>
      </c>
      <c r="AS202" s="19">
        <f t="shared" si="69"/>
        <v>1</v>
      </c>
      <c r="AT202" s="19">
        <f t="shared" si="70"/>
        <v>1</v>
      </c>
      <c r="AU202" s="19">
        <f t="shared" si="71"/>
        <v>1</v>
      </c>
      <c r="AV202" s="232">
        <f t="shared" si="50"/>
        <v>0.0499999999999998</v>
      </c>
      <c r="AW202" s="232">
        <f t="shared" si="51"/>
        <v>0</v>
      </c>
      <c r="AX202" s="232">
        <f t="shared" si="52"/>
        <v>0</v>
      </c>
      <c r="AY202" s="232">
        <f t="shared" si="53"/>
        <v>0</v>
      </c>
      <c r="AZ202" s="232">
        <f t="shared" si="54"/>
        <v>0</v>
      </c>
    </row>
    <row r="203" spans="1:52">
      <c r="A203" s="279">
        <f ca="1">SUM($N$125:N203)</f>
        <v>25.1963072082085</v>
      </c>
      <c r="C203" s="19">
        <v>80</v>
      </c>
      <c r="D203" s="86">
        <f ca="1" t="shared" si="79"/>
        <v>113.533565501192</v>
      </c>
      <c r="E203" s="251">
        <f ca="1" t="shared" si="55"/>
        <v>0.544836173510709</v>
      </c>
      <c r="F203" s="269">
        <f ca="1" t="shared" si="72"/>
        <v>146.421841182492</v>
      </c>
      <c r="G203" s="283">
        <f ca="1" t="shared" si="73"/>
        <v>79.7759156682617</v>
      </c>
      <c r="H203" s="279">
        <f ca="1" t="shared" si="74"/>
        <v>0.347323568076746</v>
      </c>
      <c r="I203" s="269">
        <f ca="1">SUM($J$125:J203)/SUM($H$125:H203)</f>
        <v>0.63889678885763</v>
      </c>
      <c r="J203" s="284">
        <f t="shared" si="80"/>
        <v>0.218239110054554</v>
      </c>
      <c r="K203" s="19">
        <f t="shared" si="82"/>
        <v>8900</v>
      </c>
      <c r="L203" s="269">
        <f t="shared" si="75"/>
        <v>1.44499999999999</v>
      </c>
      <c r="M203" s="226">
        <f ca="1" t="shared" si="76"/>
        <v>7.59</v>
      </c>
      <c r="N203" s="280">
        <f ca="1" t="shared" si="81"/>
        <v>0.129084458022167</v>
      </c>
      <c r="O203" s="226">
        <f t="shared" si="86"/>
        <v>3.3</v>
      </c>
      <c r="P203" s="19">
        <f ca="1" t="shared" si="49"/>
        <v>14</v>
      </c>
      <c r="Q203" s="226">
        <f ca="1" t="shared" si="85"/>
        <v>2.3</v>
      </c>
      <c r="R203" s="269">
        <f ca="1" t="shared" si="56"/>
        <v>0.349477535925328</v>
      </c>
      <c r="S203" s="266">
        <f ca="1" t="shared" si="57"/>
        <v>32.8316268260896</v>
      </c>
      <c r="T203" s="226">
        <f ca="1">(1+OFFSET('玩法产出(新)'!$C$18,MATCH(X203,'玩法产出(新)'!$B$19:$B$25,0),1)*(1-V203)+OFFSET('玩法产出(新)'!$C$18,1+MATCH(X203,'玩法产出(新)'!$B$19:$B$25,0),1)*(V203))^AA203*(1+OFFSET('玩法产出(新)'!$C$18,MATCH(X203,'玩法产出(新)'!$B$19:$B$25,0),3)*(1-V203)+OFFSET('玩法产出(新)'!$C$18,1+MATCH(X203,'玩法产出(新)'!$B$19:$B$25,0),3)*(V203))^AB203*(1+OFFSET('玩法产出(新)'!$C$18,MATCH(X203,'玩法产出(新)'!$B$19:$B$25,0),4)*(1-V203)+OFFSET('玩法产出(新)'!$C$18,1+MATCH(X203,'玩法产出(新)'!$B$19:$B$25,0),4)*(V203))^AC203*(1+OFFSET('玩法产出(新)'!$C$18,MATCH(X203,'玩法产出(新)'!$B$19:$B$25,0),5)*(1+V203)+OFFSET('玩法产出(新)'!$C$18,1+MATCH(X203,'玩法产出(新)'!$B$19:$B$25,5),1)*(V203))^AD203*(1+OFFSET('玩法产出(新)'!$C$18,MATCH(X203,'玩法产出(新)'!$B$19:$B$25,0),6)*(1+V203)+OFFSET('玩法产出(新)'!$C$18,1+MATCH(X203,'玩法产出(新)'!$B$19:$B$25,0),6)*(V203))^AE203</f>
        <v>9.21970921206783</v>
      </c>
      <c r="U203" s="226">
        <f ca="1" t="shared" si="77"/>
        <v>0.197512605433988</v>
      </c>
      <c r="V203" s="226">
        <f ca="1">COUNTIF($X$124:$X203,X203)/(COUNTIF($X$124:$X$723,X203)+1)</f>
        <v>0.618556701030928</v>
      </c>
      <c r="W203" s="19">
        <v>30</v>
      </c>
      <c r="X203" s="19" t="str">
        <f ca="1" t="shared" si="58"/>
        <v>紫</v>
      </c>
      <c r="Y203" s="19">
        <f t="shared" si="83"/>
        <v>9160</v>
      </c>
      <c r="Z203" s="19">
        <f ca="1" t="shared" si="59"/>
        <v>1.75979381443299</v>
      </c>
      <c r="AA203" s="282">
        <f ca="1" t="shared" si="60"/>
        <v>20.3946770833333</v>
      </c>
      <c r="AB203" s="282">
        <f ca="1" t="shared" si="61"/>
        <v>7.24479166666667</v>
      </c>
      <c r="AC203" s="282">
        <f ca="1" t="shared" si="62"/>
        <v>1.7985</v>
      </c>
      <c r="AD203" s="282">
        <f ca="1" t="shared" si="63"/>
        <v>0.449625</v>
      </c>
      <c r="AE203" s="282">
        <f ca="1" t="shared" si="64"/>
        <v>0.11240625</v>
      </c>
      <c r="AF203" s="19" t="str">
        <f t="shared" si="65"/>
        <v>红2</v>
      </c>
      <c r="AG203" s="19">
        <f>IFERROR(_xlfn.XLOOKUP(C203+1,[2]基因升级!$E$141:$E$500,[2]基因升级!$D$141:$D$500)-1,AG202)</f>
        <v>68</v>
      </c>
      <c r="AH203" s="19">
        <v>5</v>
      </c>
      <c r="AI203" s="19">
        <f t="shared" si="66"/>
        <v>6.94668959324004</v>
      </c>
      <c r="AJ203" s="19">
        <f t="shared" si="78"/>
        <v>0</v>
      </c>
      <c r="AK203" s="269">
        <v>1.6</v>
      </c>
      <c r="AL203" s="287">
        <f t="shared" si="84"/>
        <v>4.8</v>
      </c>
      <c r="AQ203" s="19">
        <f t="shared" si="67"/>
        <v>1.3837006115694</v>
      </c>
      <c r="AR203" s="19">
        <f t="shared" si="68"/>
        <v>1</v>
      </c>
      <c r="AS203" s="19">
        <f t="shared" si="69"/>
        <v>1</v>
      </c>
      <c r="AT203" s="19">
        <f t="shared" si="70"/>
        <v>1</v>
      </c>
      <c r="AU203" s="19">
        <f t="shared" si="71"/>
        <v>1</v>
      </c>
      <c r="AV203" s="232">
        <f t="shared" si="50"/>
        <v>0.0499999999999998</v>
      </c>
      <c r="AW203" s="232">
        <f t="shared" si="51"/>
        <v>0</v>
      </c>
      <c r="AX203" s="232">
        <f t="shared" si="52"/>
        <v>0</v>
      </c>
      <c r="AY203" s="232">
        <f t="shared" si="53"/>
        <v>0</v>
      </c>
      <c r="AZ203" s="232">
        <f t="shared" si="54"/>
        <v>0</v>
      </c>
    </row>
    <row r="204" spans="1:52">
      <c r="A204" s="279">
        <f ca="1">SUM($N$125:N204)</f>
        <v>25.3242740378513</v>
      </c>
      <c r="C204" s="19">
        <v>81</v>
      </c>
      <c r="D204" s="86">
        <f ca="1" t="shared" si="79"/>
        <v>114.076445468839</v>
      </c>
      <c r="E204" s="251">
        <f ca="1" t="shared" si="55"/>
        <v>0.542879967646967</v>
      </c>
      <c r="F204" s="269">
        <f ca="1" t="shared" si="72"/>
        <v>147.583413214341</v>
      </c>
      <c r="G204" s="283">
        <f ca="1" t="shared" si="73"/>
        <v>80.1200785910303</v>
      </c>
      <c r="H204" s="279">
        <f ca="1" t="shared" si="74"/>
        <v>0.344162922768675</v>
      </c>
      <c r="I204" s="269">
        <f ca="1">SUM($J$125:J204)/SUM($H$125:H204)</f>
        <v>0.63884418633423</v>
      </c>
      <c r="J204" s="284">
        <f t="shared" si="80"/>
        <v>0.216196093125831</v>
      </c>
      <c r="K204" s="19">
        <f t="shared" si="82"/>
        <v>9000</v>
      </c>
      <c r="L204" s="269">
        <f t="shared" si="75"/>
        <v>1.44999999999999</v>
      </c>
      <c r="M204" s="226">
        <f ca="1" t="shared" si="76"/>
        <v>7.65599999999999</v>
      </c>
      <c r="N204" s="280">
        <f ca="1" t="shared" si="81"/>
        <v>0.127966829642855</v>
      </c>
      <c r="O204" s="226">
        <f t="shared" si="86"/>
        <v>3.3</v>
      </c>
      <c r="P204" s="19">
        <f ca="1" t="shared" si="49"/>
        <v>14.2</v>
      </c>
      <c r="Q204" s="226">
        <f ca="1" t="shared" si="85"/>
        <v>2.32</v>
      </c>
      <c r="R204" s="269">
        <f ca="1" t="shared" si="56"/>
        <v>0.351592787282146</v>
      </c>
      <c r="S204" s="266">
        <f ca="1" t="shared" si="57"/>
        <v>33.0303438709679</v>
      </c>
      <c r="T204" s="226">
        <f ca="1">(1+OFFSET('玩法产出(新)'!$C$18,MATCH(X204,'玩法产出(新)'!$B$19:$B$25,0),1)*(1-V204)+OFFSET('玩法产出(新)'!$C$18,1+MATCH(X204,'玩法产出(新)'!$B$19:$B$25,0),1)*(V204))^AA204*(1+OFFSET('玩法产出(新)'!$C$18,MATCH(X204,'玩法产出(新)'!$B$19:$B$25,0),3)*(1-V204)+OFFSET('玩法产出(新)'!$C$18,1+MATCH(X204,'玩法产出(新)'!$B$19:$B$25,0),3)*(V204))^AB204*(1+OFFSET('玩法产出(新)'!$C$18,MATCH(X204,'玩法产出(新)'!$B$19:$B$25,0),4)*(1-V204)+OFFSET('玩法产出(新)'!$C$18,1+MATCH(X204,'玩法产出(新)'!$B$19:$B$25,0),4)*(V204))^AC204*(1+OFFSET('玩法产出(新)'!$C$18,MATCH(X204,'玩法产出(新)'!$B$19:$B$25,0),5)*(1+V204)+OFFSET('玩法产出(新)'!$C$18,1+MATCH(X204,'玩法产出(新)'!$B$19:$B$25,5),1)*(V204))^AD204*(1+OFFSET('玩法产出(新)'!$C$18,MATCH(X204,'玩法产出(新)'!$B$19:$B$25,0),6)*(1+V204)+OFFSET('玩法产出(新)'!$C$18,1+MATCH(X204,'玩法产出(新)'!$B$19:$B$25,0),6)*(V204))^AE204</f>
        <v>9.34450457886987</v>
      </c>
      <c r="U204" s="226">
        <f ca="1" t="shared" si="77"/>
        <v>0.198717044878281</v>
      </c>
      <c r="V204" s="226">
        <f ca="1">COUNTIF($X$124:$X204,X204)/(COUNTIF($X$124:$X$723,X204)+1)</f>
        <v>0.628865979381443</v>
      </c>
      <c r="W204" s="19">
        <v>30</v>
      </c>
      <c r="X204" s="19" t="str">
        <f ca="1" t="shared" si="58"/>
        <v>紫</v>
      </c>
      <c r="Y204" s="19">
        <f t="shared" si="83"/>
        <v>9260</v>
      </c>
      <c r="Z204" s="19">
        <f ca="1" t="shared" si="59"/>
        <v>1.76412371134021</v>
      </c>
      <c r="AA204" s="282">
        <f ca="1" t="shared" si="60"/>
        <v>20.294915625</v>
      </c>
      <c r="AB204" s="282">
        <f ca="1" t="shared" si="61"/>
        <v>7.3171875</v>
      </c>
      <c r="AC204" s="282">
        <f ca="1" t="shared" si="62"/>
        <v>1.81935</v>
      </c>
      <c r="AD204" s="282">
        <f ca="1" t="shared" si="63"/>
        <v>0.4548375</v>
      </c>
      <c r="AE204" s="282">
        <f ca="1" t="shared" si="64"/>
        <v>0.113709375</v>
      </c>
      <c r="AF204" s="19" t="str">
        <f t="shared" si="65"/>
        <v>红2</v>
      </c>
      <c r="AG204" s="19">
        <f>IFERROR(_xlfn.XLOOKUP(C204+1,[2]基因升级!$E$141:$E$500,[2]基因升级!$D$141:$D$500)-1,AG203)</f>
        <v>69</v>
      </c>
      <c r="AH204" s="19">
        <v>5</v>
      </c>
      <c r="AI204" s="19">
        <f t="shared" si="66"/>
        <v>6.94668959324004</v>
      </c>
      <c r="AJ204" s="19">
        <f t="shared" si="78"/>
        <v>0</v>
      </c>
      <c r="AK204" s="269">
        <v>1.6</v>
      </c>
      <c r="AL204" s="287">
        <f t="shared" si="84"/>
        <v>4.85</v>
      </c>
      <c r="AQ204" s="19">
        <f t="shared" si="67"/>
        <v>1.38838950386411</v>
      </c>
      <c r="AR204" s="19">
        <f t="shared" si="68"/>
        <v>1</v>
      </c>
      <c r="AS204" s="19">
        <f t="shared" si="69"/>
        <v>1</v>
      </c>
      <c r="AT204" s="19">
        <f t="shared" si="70"/>
        <v>1</v>
      </c>
      <c r="AU204" s="19">
        <f t="shared" si="71"/>
        <v>1</v>
      </c>
      <c r="AV204" s="232">
        <f t="shared" si="50"/>
        <v>0.0499999999999998</v>
      </c>
      <c r="AW204" s="232">
        <f t="shared" si="51"/>
        <v>0</v>
      </c>
      <c r="AX204" s="232">
        <f t="shared" si="52"/>
        <v>0</v>
      </c>
      <c r="AY204" s="232">
        <f t="shared" si="53"/>
        <v>0</v>
      </c>
      <c r="AZ204" s="232">
        <f t="shared" si="54"/>
        <v>0</v>
      </c>
    </row>
    <row r="205" spans="1:52">
      <c r="A205" s="279">
        <f ca="1">SUM($N$125:N205)</f>
        <v>25.4511424262247</v>
      </c>
      <c r="C205" s="19">
        <v>82</v>
      </c>
      <c r="D205" s="86">
        <f ca="1" t="shared" si="79"/>
        <v>114.617428480807</v>
      </c>
      <c r="E205" s="251">
        <f ca="1" t="shared" si="55"/>
        <v>0.540983011968588</v>
      </c>
      <c r="F205" s="269">
        <f ca="1" t="shared" si="72"/>
        <v>148.731366297759</v>
      </c>
      <c r="G205" s="283">
        <f ca="1" t="shared" si="73"/>
        <v>80.4611425139652</v>
      </c>
      <c r="H205" s="279">
        <f ca="1" t="shared" si="74"/>
        <v>0.341063922934865</v>
      </c>
      <c r="I205" s="269">
        <f ca="1">SUM($J$125:J205)/SUM($H$125:H205)</f>
        <v>0.638791800442629</v>
      </c>
      <c r="J205" s="284">
        <f t="shared" si="80"/>
        <v>0.214195534561505</v>
      </c>
      <c r="K205" s="19">
        <f t="shared" si="82"/>
        <v>9100</v>
      </c>
      <c r="L205" s="269">
        <f t="shared" si="75"/>
        <v>1.45499999999999</v>
      </c>
      <c r="M205" s="226">
        <f ca="1" t="shared" si="76"/>
        <v>7.722</v>
      </c>
      <c r="N205" s="280">
        <f ca="1" t="shared" si="81"/>
        <v>0.126868388373346</v>
      </c>
      <c r="O205" s="226">
        <f t="shared" si="86"/>
        <v>3.3</v>
      </c>
      <c r="P205" s="19">
        <f ca="1" t="shared" si="49"/>
        <v>14.4</v>
      </c>
      <c r="Q205" s="226">
        <f ca="1" t="shared" si="85"/>
        <v>2.34</v>
      </c>
      <c r="R205" s="269">
        <f ca="1" t="shared" si="56"/>
        <v>0.353720833844993</v>
      </c>
      <c r="S205" s="266">
        <f ca="1" t="shared" si="57"/>
        <v>33.2302629600016</v>
      </c>
      <c r="T205" s="226">
        <f ca="1">(1+OFFSET('玩法产出(新)'!$C$18,MATCH(X205,'玩法产出(新)'!$B$19:$B$25,0),1)*(1-V205)+OFFSET('玩法产出(新)'!$C$18,1+MATCH(X205,'玩法产出(新)'!$B$19:$B$25,0),1)*(V205))^AA205*(1+OFFSET('玩法产出(新)'!$C$18,MATCH(X205,'玩法产出(新)'!$B$19:$B$25,0),3)*(1-V205)+OFFSET('玩法产出(新)'!$C$18,1+MATCH(X205,'玩法产出(新)'!$B$19:$B$25,0),3)*(V205))^AB205*(1+OFFSET('玩法产出(新)'!$C$18,MATCH(X205,'玩法产出(新)'!$B$19:$B$25,0),4)*(1-V205)+OFFSET('玩法产出(新)'!$C$18,1+MATCH(X205,'玩法产出(新)'!$B$19:$B$25,0),4)*(V205))^AC205*(1+OFFSET('玩法产出(新)'!$C$18,MATCH(X205,'玩法产出(新)'!$B$19:$B$25,0),5)*(1+V205)+OFFSET('玩法产出(新)'!$C$18,1+MATCH(X205,'玩法产出(新)'!$B$19:$B$25,5),1)*(V205))^AD205*(1+OFFSET('玩法产出(新)'!$C$18,MATCH(X205,'玩法产出(新)'!$B$19:$B$25,0),6)*(1+V205)+OFFSET('玩法产出(新)'!$C$18,1+MATCH(X205,'玩法产出(新)'!$B$19:$B$25,0),6)*(V205))^AE205</f>
        <v>9.47175943472895</v>
      </c>
      <c r="U205" s="226">
        <f ca="1" t="shared" si="77"/>
        <v>0.199919089033737</v>
      </c>
      <c r="V205" s="226">
        <f ca="1">COUNTIF($X$124:$X205,X205)/(COUNTIF($X$124:$X$723,X205)+1)</f>
        <v>0.639175257731959</v>
      </c>
      <c r="W205" s="19">
        <v>30</v>
      </c>
      <c r="X205" s="19" t="str">
        <f ca="1" t="shared" si="58"/>
        <v>紫</v>
      </c>
      <c r="Y205" s="19">
        <f t="shared" si="83"/>
        <v>9360</v>
      </c>
      <c r="Z205" s="19">
        <f ca="1" t="shared" si="59"/>
        <v>1.76845360824742</v>
      </c>
      <c r="AA205" s="282">
        <f ca="1" t="shared" si="60"/>
        <v>20.1951541666667</v>
      </c>
      <c r="AB205" s="282">
        <f ca="1" t="shared" si="61"/>
        <v>7.38958333333333</v>
      </c>
      <c r="AC205" s="282">
        <f ca="1" t="shared" si="62"/>
        <v>1.8402</v>
      </c>
      <c r="AD205" s="282">
        <f ca="1" t="shared" si="63"/>
        <v>0.46005</v>
      </c>
      <c r="AE205" s="282">
        <f ca="1" t="shared" si="64"/>
        <v>0.1150125</v>
      </c>
      <c r="AF205" s="19" t="str">
        <f t="shared" si="65"/>
        <v>红2</v>
      </c>
      <c r="AG205" s="19">
        <f>IFERROR(_xlfn.XLOOKUP(C205+1,[2]基因升级!$E$141:$E$500,[2]基因升级!$D$141:$D$500)-1,AG204)</f>
        <v>69</v>
      </c>
      <c r="AH205" s="19">
        <v>5</v>
      </c>
      <c r="AI205" s="19">
        <f t="shared" si="66"/>
        <v>6.94668959324004</v>
      </c>
      <c r="AJ205" s="19">
        <f t="shared" si="78"/>
        <v>0</v>
      </c>
      <c r="AK205" s="269">
        <v>1.6</v>
      </c>
      <c r="AL205" s="287">
        <f t="shared" si="84"/>
        <v>4.9</v>
      </c>
      <c r="AQ205" s="19">
        <f t="shared" si="67"/>
        <v>1.39309428522527</v>
      </c>
      <c r="AR205" s="19">
        <f t="shared" si="68"/>
        <v>1</v>
      </c>
      <c r="AS205" s="19">
        <f t="shared" si="69"/>
        <v>1</v>
      </c>
      <c r="AT205" s="19">
        <f t="shared" si="70"/>
        <v>1</v>
      </c>
      <c r="AU205" s="19">
        <f t="shared" si="71"/>
        <v>1</v>
      </c>
      <c r="AV205" s="232">
        <f t="shared" si="50"/>
        <v>0.0499999999999998</v>
      </c>
      <c r="AW205" s="232">
        <f t="shared" si="51"/>
        <v>0</v>
      </c>
      <c r="AX205" s="232">
        <f t="shared" si="52"/>
        <v>0</v>
      </c>
      <c r="AY205" s="232">
        <f t="shared" si="53"/>
        <v>0</v>
      </c>
      <c r="AZ205" s="232">
        <f t="shared" si="54"/>
        <v>0</v>
      </c>
    </row>
    <row r="206" spans="1:52">
      <c r="A206" s="279">
        <f ca="1">SUM($N$125:N206)</f>
        <v>25.5769310705427</v>
      </c>
      <c r="C206" s="19">
        <v>83</v>
      </c>
      <c r="D206" s="86">
        <f ca="1" t="shared" si="79"/>
        <v>115.156571942061</v>
      </c>
      <c r="E206" s="251">
        <f ca="1" t="shared" si="55"/>
        <v>0.539143461253377</v>
      </c>
      <c r="F206" s="269">
        <f ca="1" t="shared" si="72"/>
        <v>149.865802026201</v>
      </c>
      <c r="G206" s="283">
        <f ca="1" t="shared" si="73"/>
        <v>80.7991672279194</v>
      </c>
      <c r="H206" s="279">
        <f ca="1" t="shared" si="74"/>
        <v>0.338024713954169</v>
      </c>
      <c r="I206" s="269">
        <f ca="1">SUM($J$125:J206)/SUM($H$125:H206)</f>
        <v>0.638739662174212</v>
      </c>
      <c r="J206" s="284">
        <f t="shared" si="80"/>
        <v>0.212236069636198</v>
      </c>
      <c r="K206" s="19">
        <f t="shared" si="82"/>
        <v>9200</v>
      </c>
      <c r="L206" s="269">
        <f t="shared" si="75"/>
        <v>1.45999999999999</v>
      </c>
      <c r="M206" s="226">
        <f ca="1" t="shared" si="76"/>
        <v>7.78799999999999</v>
      </c>
      <c r="N206" s="280">
        <f ca="1" t="shared" si="81"/>
        <v>0.125788644317989</v>
      </c>
      <c r="O206" s="226">
        <f t="shared" si="86"/>
        <v>3.3</v>
      </c>
      <c r="P206" s="19">
        <f ca="1" t="shared" si="49"/>
        <v>14.6</v>
      </c>
      <c r="Q206" s="226">
        <f ca="1" t="shared" si="85"/>
        <v>2.36</v>
      </c>
      <c r="R206" s="269">
        <f ca="1" t="shared" si="56"/>
        <v>0.35586165021717</v>
      </c>
      <c r="S206" s="266">
        <f ca="1" t="shared" si="57"/>
        <v>33.4313817073008</v>
      </c>
      <c r="T206" s="226">
        <f ca="1">(1+OFFSET('玩法产出(新)'!$C$18,MATCH(X206,'玩法产出(新)'!$B$19:$B$25,0),1)*(1-V206)+OFFSET('玩法产出(新)'!$C$18,1+MATCH(X206,'玩法产出(新)'!$B$19:$B$25,0),1)*(V206))^AA206*(1+OFFSET('玩法产出(新)'!$C$18,MATCH(X206,'玩法产出(新)'!$B$19:$B$25,0),3)*(1-V206)+OFFSET('玩法产出(新)'!$C$18,1+MATCH(X206,'玩法产出(新)'!$B$19:$B$25,0),3)*(V206))^AB206*(1+OFFSET('玩法产出(新)'!$C$18,MATCH(X206,'玩法产出(新)'!$B$19:$B$25,0),4)*(1-V206)+OFFSET('玩法产出(新)'!$C$18,1+MATCH(X206,'玩法产出(新)'!$B$19:$B$25,0),4)*(V206))^AC206*(1+OFFSET('玩法产出(新)'!$C$18,MATCH(X206,'玩法产出(新)'!$B$19:$B$25,0),5)*(1+V206)+OFFSET('玩法产出(新)'!$C$18,1+MATCH(X206,'玩法产出(新)'!$B$19:$B$25,5),1)*(V206))^AD206*(1+OFFSET('玩法产出(新)'!$C$18,MATCH(X206,'玩法产出(新)'!$B$19:$B$25,0),6)*(1+V206)+OFFSET('玩法产出(新)'!$C$18,1+MATCH(X206,'玩法产出(新)'!$B$19:$B$25,0),6)*(V206))^AE206</f>
        <v>9.60152656412427</v>
      </c>
      <c r="U206" s="226">
        <f ca="1" t="shared" si="77"/>
        <v>0.201118747299189</v>
      </c>
      <c r="V206" s="226">
        <f ca="1">COUNTIF($X$124:$X206,X206)/(COUNTIF($X$124:$X$723,X206)+1)</f>
        <v>0.649484536082474</v>
      </c>
      <c r="W206" s="19">
        <v>30</v>
      </c>
      <c r="X206" s="19" t="str">
        <f ca="1" t="shared" si="58"/>
        <v>紫</v>
      </c>
      <c r="Y206" s="19">
        <f t="shared" si="83"/>
        <v>9460</v>
      </c>
      <c r="Z206" s="19">
        <f ca="1" t="shared" si="59"/>
        <v>1.77278350515464</v>
      </c>
      <c r="AA206" s="282">
        <f ca="1" t="shared" si="60"/>
        <v>20.0953927083333</v>
      </c>
      <c r="AB206" s="282">
        <f ca="1" t="shared" si="61"/>
        <v>7.46197916666667</v>
      </c>
      <c r="AC206" s="282">
        <f ca="1" t="shared" si="62"/>
        <v>1.86105</v>
      </c>
      <c r="AD206" s="282">
        <f ca="1" t="shared" si="63"/>
        <v>0.4652625</v>
      </c>
      <c r="AE206" s="282">
        <f ca="1" t="shared" si="64"/>
        <v>0.116315625</v>
      </c>
      <c r="AF206" s="19" t="str">
        <f t="shared" si="65"/>
        <v>红2</v>
      </c>
      <c r="AG206" s="19">
        <f>IFERROR(_xlfn.XLOOKUP(C206+1,[2]基因升级!$E$141:$E$500,[2]基因升级!$D$141:$D$500)-1,AG205)</f>
        <v>69</v>
      </c>
      <c r="AH206" s="19">
        <v>5</v>
      </c>
      <c r="AI206" s="19">
        <f t="shared" si="66"/>
        <v>6.94668959324004</v>
      </c>
      <c r="AJ206" s="19">
        <f t="shared" si="78"/>
        <v>0</v>
      </c>
      <c r="AK206" s="269">
        <v>1.6</v>
      </c>
      <c r="AL206" s="287">
        <f t="shared" si="84"/>
        <v>4.95</v>
      </c>
      <c r="AQ206" s="19">
        <f t="shared" si="67"/>
        <v>1.39781500949553</v>
      </c>
      <c r="AR206" s="19">
        <f t="shared" si="68"/>
        <v>1</v>
      </c>
      <c r="AS206" s="19">
        <f t="shared" si="69"/>
        <v>1</v>
      </c>
      <c r="AT206" s="19">
        <f t="shared" si="70"/>
        <v>1</v>
      </c>
      <c r="AU206" s="19">
        <f t="shared" si="71"/>
        <v>1</v>
      </c>
      <c r="AV206" s="232">
        <f t="shared" si="50"/>
        <v>0.0499999999999998</v>
      </c>
      <c r="AW206" s="232">
        <f t="shared" si="51"/>
        <v>0</v>
      </c>
      <c r="AX206" s="232">
        <f t="shared" si="52"/>
        <v>0</v>
      </c>
      <c r="AY206" s="232">
        <f t="shared" si="53"/>
        <v>0</v>
      </c>
      <c r="AZ206" s="232">
        <f t="shared" si="54"/>
        <v>0</v>
      </c>
    </row>
    <row r="207" spans="1:52">
      <c r="A207" s="279">
        <f ca="1">SUM($N$125:N207)</f>
        <v>25.7016581946609</v>
      </c>
      <c r="C207" s="19">
        <v>84</v>
      </c>
      <c r="D207" s="86">
        <f ca="1" t="shared" si="79"/>
        <v>115.693931487466</v>
      </c>
      <c r="E207" s="251">
        <f ca="1" t="shared" si="55"/>
        <v>0.537359545405301</v>
      </c>
      <c r="F207" s="269">
        <f ca="1" t="shared" si="72"/>
        <v>150.986823325366</v>
      </c>
      <c r="G207" s="283">
        <f ca="1" t="shared" si="73"/>
        <v>81.1342107443094</v>
      </c>
      <c r="H207" s="279">
        <f ca="1" t="shared" si="74"/>
        <v>0.335043516390058</v>
      </c>
      <c r="I207" s="269">
        <f ca="1">SUM($J$125:J207)/SUM($H$125:H207)</f>
        <v>0.638687799783918</v>
      </c>
      <c r="J207" s="284">
        <f t="shared" si="80"/>
        <v>0.210316392271835</v>
      </c>
      <c r="K207" s="19">
        <f t="shared" si="82"/>
        <v>9300</v>
      </c>
      <c r="L207" s="269">
        <f t="shared" si="75"/>
        <v>1.46499999999999</v>
      </c>
      <c r="M207" s="226">
        <f ca="1" t="shared" si="76"/>
        <v>7.85399999999999</v>
      </c>
      <c r="N207" s="280">
        <f ca="1" t="shared" si="81"/>
        <v>0.124727124118216</v>
      </c>
      <c r="O207" s="226">
        <f t="shared" si="86"/>
        <v>3.3</v>
      </c>
      <c r="P207" s="19">
        <f ca="1" t="shared" si="49"/>
        <v>14.8</v>
      </c>
      <c r="Q207" s="226">
        <f ca="1" t="shared" si="85"/>
        <v>2.38</v>
      </c>
      <c r="R207" s="269">
        <f ca="1" t="shared" si="56"/>
        <v>0.358015211101405</v>
      </c>
      <c r="S207" s="266">
        <f ca="1" t="shared" si="57"/>
        <v>33.6336977363161</v>
      </c>
      <c r="T207" s="226">
        <f ca="1">(1+OFFSET('玩法产出(新)'!$C$18,MATCH(X207,'玩法产出(新)'!$B$19:$B$25,0),1)*(1-V207)+OFFSET('玩法产出(新)'!$C$18,1+MATCH(X207,'玩法产出(新)'!$B$19:$B$25,0),1)*(V207))^AA207*(1+OFFSET('玩法产出(新)'!$C$18,MATCH(X207,'玩法产出(新)'!$B$19:$B$25,0),3)*(1-V207)+OFFSET('玩法产出(新)'!$C$18,1+MATCH(X207,'玩法产出(新)'!$B$19:$B$25,0),3)*(V207))^AB207*(1+OFFSET('玩法产出(新)'!$C$18,MATCH(X207,'玩法产出(新)'!$B$19:$B$25,0),4)*(1-V207)+OFFSET('玩法产出(新)'!$C$18,1+MATCH(X207,'玩法产出(新)'!$B$19:$B$25,0),4)*(V207))^AC207*(1+OFFSET('玩法产出(新)'!$C$18,MATCH(X207,'玩法产出(新)'!$B$19:$B$25,0),5)*(1+V207)+OFFSET('玩法产出(新)'!$C$18,1+MATCH(X207,'玩法产出(新)'!$B$19:$B$25,5),1)*(V207))^AD207*(1+OFFSET('玩法产出(新)'!$C$18,MATCH(X207,'玩法产出(新)'!$B$19:$B$25,0),6)*(1+V207)+OFFSET('玩法产出(新)'!$C$18,1+MATCH(X207,'玩法产出(新)'!$B$19:$B$25,0),6)*(V207))^AE207</f>
        <v>9.73386003197237</v>
      </c>
      <c r="U207" s="226">
        <f ca="1" t="shared" si="77"/>
        <v>0.20231602901525</v>
      </c>
      <c r="V207" s="226">
        <f ca="1">COUNTIF($X$124:$X207,X207)/(COUNTIF($X$124:$X$723,X207)+1)</f>
        <v>0.65979381443299</v>
      </c>
      <c r="W207" s="19">
        <v>30</v>
      </c>
      <c r="X207" s="19" t="str">
        <f ca="1" t="shared" si="58"/>
        <v>紫</v>
      </c>
      <c r="Y207" s="19">
        <f t="shared" si="83"/>
        <v>9560</v>
      </c>
      <c r="Z207" s="19">
        <f ca="1" t="shared" si="59"/>
        <v>1.77711340206186</v>
      </c>
      <c r="AA207" s="282">
        <f ca="1" t="shared" si="60"/>
        <v>19.99563125</v>
      </c>
      <c r="AB207" s="282">
        <f ca="1" t="shared" si="61"/>
        <v>7.534375</v>
      </c>
      <c r="AC207" s="282">
        <f ca="1" t="shared" si="62"/>
        <v>1.8819</v>
      </c>
      <c r="AD207" s="282">
        <f ca="1" t="shared" si="63"/>
        <v>0.470475</v>
      </c>
      <c r="AE207" s="282">
        <f ca="1" t="shared" si="64"/>
        <v>0.11761875</v>
      </c>
      <c r="AF207" s="19" t="str">
        <f t="shared" si="65"/>
        <v>红2</v>
      </c>
      <c r="AG207" s="19">
        <f>IFERROR(_xlfn.XLOOKUP(C207+1,[2]基因升级!$E$141:$E$500,[2]基因升级!$D$141:$D$500)-1,AG206)</f>
        <v>69</v>
      </c>
      <c r="AH207" s="19">
        <v>5</v>
      </c>
      <c r="AI207" s="19">
        <f t="shared" si="66"/>
        <v>6.94668959324004</v>
      </c>
      <c r="AJ207" s="19">
        <f t="shared" si="78"/>
        <v>0</v>
      </c>
      <c r="AK207" s="269">
        <v>1.6</v>
      </c>
      <c r="AL207" s="287">
        <f t="shared" si="84"/>
        <v>5</v>
      </c>
      <c r="AQ207" s="19">
        <f t="shared" si="67"/>
        <v>1.4025517307</v>
      </c>
      <c r="AR207" s="19">
        <f t="shared" si="68"/>
        <v>1</v>
      </c>
      <c r="AS207" s="19">
        <f t="shared" si="69"/>
        <v>1</v>
      </c>
      <c r="AT207" s="19">
        <f t="shared" si="70"/>
        <v>1</v>
      </c>
      <c r="AU207" s="19">
        <f t="shared" si="71"/>
        <v>1</v>
      </c>
      <c r="AV207" s="232">
        <f t="shared" si="50"/>
        <v>0.0499999999999998</v>
      </c>
      <c r="AW207" s="232">
        <f t="shared" si="51"/>
        <v>0</v>
      </c>
      <c r="AX207" s="232">
        <f t="shared" si="52"/>
        <v>0</v>
      </c>
      <c r="AY207" s="232">
        <f t="shared" si="53"/>
        <v>0</v>
      </c>
      <c r="AZ207" s="232">
        <f t="shared" si="54"/>
        <v>0</v>
      </c>
    </row>
    <row r="208" spans="1:52">
      <c r="A208" s="279">
        <f ca="1">SUM($N$125:N208)</f>
        <v>25.8253415649215</v>
      </c>
      <c r="C208" s="19">
        <v>85</v>
      </c>
      <c r="D208" s="86">
        <f ca="1" t="shared" si="79"/>
        <v>116.229561053099</v>
      </c>
      <c r="E208" s="251">
        <f ca="1" t="shared" si="55"/>
        <v>0.535629565632996</v>
      </c>
      <c r="F208" s="269">
        <f ca="1" t="shared" si="72"/>
        <v>152.09453434521</v>
      </c>
      <c r="G208" s="283">
        <f ca="1" t="shared" si="73"/>
        <v>81.4663293664775</v>
      </c>
      <c r="H208" s="279">
        <f ca="1" t="shared" si="74"/>
        <v>0.33211862216811</v>
      </c>
      <c r="I208" s="269">
        <f ca="1">SUM($J$125:J208)/SUM($H$125:H208)</f>
        <v>0.638636238997392</v>
      </c>
      <c r="J208" s="284">
        <f t="shared" si="80"/>
        <v>0.208435251907531</v>
      </c>
      <c r="K208" s="19">
        <f t="shared" si="82"/>
        <v>9400</v>
      </c>
      <c r="L208" s="269">
        <f t="shared" si="75"/>
        <v>1.46999999999999</v>
      </c>
      <c r="M208" s="226">
        <f ca="1" t="shared" si="76"/>
        <v>7.91999999999999</v>
      </c>
      <c r="N208" s="280">
        <f ca="1" t="shared" si="81"/>
        <v>0.123683370260576</v>
      </c>
      <c r="O208" s="226">
        <f t="shared" si="86"/>
        <v>3.3</v>
      </c>
      <c r="P208" s="19">
        <f ca="1" t="shared" si="49"/>
        <v>15</v>
      </c>
      <c r="Q208" s="226">
        <f ca="1" t="shared" si="85"/>
        <v>2.4</v>
      </c>
      <c r="R208" s="269">
        <f ca="1" t="shared" si="56"/>
        <v>0.360181491299236</v>
      </c>
      <c r="S208" s="266">
        <f ca="1" t="shared" si="57"/>
        <v>33.837208679781</v>
      </c>
      <c r="T208" s="226">
        <f ca="1">(1+OFFSET('玩法产出(新)'!$C$18,MATCH(X208,'玩法产出(新)'!$B$19:$B$25,0),1)*(1-V208)+OFFSET('玩法产出(新)'!$C$18,1+MATCH(X208,'玩法产出(新)'!$B$19:$B$25,0),1)*(V208))^AA208*(1+OFFSET('玩法产出(新)'!$C$18,MATCH(X208,'玩法产出(新)'!$B$19:$B$25,0),3)*(1-V208)+OFFSET('玩法产出(新)'!$C$18,1+MATCH(X208,'玩法产出(新)'!$B$19:$B$25,0),3)*(V208))^AB208*(1+OFFSET('玩法产出(新)'!$C$18,MATCH(X208,'玩法产出(新)'!$B$19:$B$25,0),4)*(1-V208)+OFFSET('玩法产出(新)'!$C$18,1+MATCH(X208,'玩法产出(新)'!$B$19:$B$25,0),4)*(V208))^AC208*(1+OFFSET('玩法产出(新)'!$C$18,MATCH(X208,'玩法产出(新)'!$B$19:$B$25,0),5)*(1+V208)+OFFSET('玩法产出(新)'!$C$18,1+MATCH(X208,'玩法产出(新)'!$B$19:$B$25,5),1)*(V208))^AD208*(1+OFFSET('玩法产出(新)'!$C$18,MATCH(X208,'玩法产出(新)'!$B$19:$B$25,0),6)*(1+V208)+OFFSET('玩法产出(新)'!$C$18,1+MATCH(X208,'玩法产出(新)'!$B$19:$B$25,0),6)*(V208))^AE208</f>
        <v>9.86881521665182</v>
      </c>
      <c r="U208" s="226">
        <f ca="1" t="shared" si="77"/>
        <v>0.203510943464889</v>
      </c>
      <c r="V208" s="226">
        <f ca="1">COUNTIF($X$124:$X208,X208)/(COUNTIF($X$124:$X$723,X208)+1)</f>
        <v>0.670103092783505</v>
      </c>
      <c r="W208" s="19">
        <v>30</v>
      </c>
      <c r="X208" s="19" t="str">
        <f ca="1" t="shared" si="58"/>
        <v>紫</v>
      </c>
      <c r="Y208" s="19">
        <f t="shared" si="83"/>
        <v>9660</v>
      </c>
      <c r="Z208" s="19">
        <f ca="1" t="shared" si="59"/>
        <v>1.78144329896907</v>
      </c>
      <c r="AA208" s="282">
        <f ca="1" t="shared" si="60"/>
        <v>19.8958697916667</v>
      </c>
      <c r="AB208" s="282">
        <f ca="1" t="shared" si="61"/>
        <v>7.60677083333333</v>
      </c>
      <c r="AC208" s="282">
        <f ca="1" t="shared" si="62"/>
        <v>1.90275</v>
      </c>
      <c r="AD208" s="282">
        <f ca="1" t="shared" si="63"/>
        <v>0.4756875</v>
      </c>
      <c r="AE208" s="282">
        <f ca="1" t="shared" si="64"/>
        <v>0.118921875</v>
      </c>
      <c r="AF208" s="19" t="str">
        <f t="shared" si="65"/>
        <v>红2</v>
      </c>
      <c r="AG208" s="19">
        <f>IFERROR(_xlfn.XLOOKUP(C208+1,[2]基因升级!$E$141:$E$500,[2]基因升级!$D$141:$D$500)-1,AG207)</f>
        <v>70</v>
      </c>
      <c r="AH208" s="19">
        <v>5</v>
      </c>
      <c r="AI208" s="19">
        <f t="shared" si="66"/>
        <v>6.94668959324004</v>
      </c>
      <c r="AJ208" s="19">
        <f t="shared" si="78"/>
        <v>0</v>
      </c>
      <c r="AK208" s="269">
        <v>1.6</v>
      </c>
      <c r="AL208" s="287">
        <f t="shared" ref="AL208:AL271" si="87">AL207+0.04</f>
        <v>5.04</v>
      </c>
      <c r="AQ208" s="19">
        <f t="shared" si="67"/>
        <v>1.40635266187795</v>
      </c>
      <c r="AR208" s="19">
        <f t="shared" si="68"/>
        <v>1</v>
      </c>
      <c r="AS208" s="19">
        <f t="shared" si="69"/>
        <v>1</v>
      </c>
      <c r="AT208" s="19">
        <f t="shared" si="70"/>
        <v>1</v>
      </c>
      <c r="AU208" s="19">
        <f t="shared" si="71"/>
        <v>1</v>
      </c>
      <c r="AV208" s="232">
        <f t="shared" si="50"/>
        <v>0.04</v>
      </c>
      <c r="AW208" s="232">
        <f t="shared" si="51"/>
        <v>0</v>
      </c>
      <c r="AX208" s="232">
        <f t="shared" si="52"/>
        <v>0</v>
      </c>
      <c r="AY208" s="232">
        <f t="shared" si="53"/>
        <v>0</v>
      </c>
      <c r="AZ208" s="232">
        <f t="shared" si="54"/>
        <v>0</v>
      </c>
    </row>
    <row r="209" spans="1:52">
      <c r="A209" s="279">
        <f ca="1">SUM($N$125:N209)</f>
        <v>25.9479985053406</v>
      </c>
      <c r="C209" s="19">
        <v>86</v>
      </c>
      <c r="D209" s="86">
        <f ca="1" t="shared" si="79"/>
        <v>116.76351294396</v>
      </c>
      <c r="E209" s="251">
        <f ca="1" t="shared" si="55"/>
        <v>0.533951890861014</v>
      </c>
      <c r="F209" s="269">
        <f ca="1" t="shared" si="72"/>
        <v>153.189040356364</v>
      </c>
      <c r="G209" s="283">
        <f ca="1" t="shared" si="73"/>
        <v>81.7955777574647</v>
      </c>
      <c r="H209" s="279">
        <f ca="1" t="shared" si="74"/>
        <v>0.329248390987161</v>
      </c>
      <c r="I209" s="269">
        <f ca="1">SUM($J$125:J209)/SUM($H$125:H209)</f>
        <v>0.638585003201778</v>
      </c>
      <c r="J209" s="284">
        <f t="shared" si="80"/>
        <v>0.206591450567984</v>
      </c>
      <c r="K209" s="19">
        <f t="shared" si="82"/>
        <v>9500</v>
      </c>
      <c r="L209" s="269">
        <f t="shared" si="75"/>
        <v>1.47499999999999</v>
      </c>
      <c r="M209" s="226">
        <f ca="1" t="shared" si="76"/>
        <v>7.98599999999999</v>
      </c>
      <c r="N209" s="280">
        <f ca="1" t="shared" si="81"/>
        <v>0.12265694041918</v>
      </c>
      <c r="O209" s="226">
        <f t="shared" si="86"/>
        <v>3.3</v>
      </c>
      <c r="P209" s="19">
        <f ca="1" t="shared" si="49"/>
        <v>15.2</v>
      </c>
      <c r="Q209" s="226">
        <f ca="1" t="shared" si="85"/>
        <v>2.42</v>
      </c>
      <c r="R209" s="269">
        <f ca="1" t="shared" si="56"/>
        <v>0.362360465710408</v>
      </c>
      <c r="S209" s="266">
        <f ca="1" t="shared" si="57"/>
        <v>34.0419121796548</v>
      </c>
      <c r="T209" s="226">
        <f ca="1">(1+OFFSET('玩法产出(新)'!$C$18,MATCH(X209,'玩法产出(新)'!$B$19:$B$25,0),1)*(1-V209)+OFFSET('玩法产出(新)'!$C$18,1+MATCH(X209,'玩法产出(新)'!$B$19:$B$25,0),1)*(V209))^AA209*(1+OFFSET('玩法产出(新)'!$C$18,MATCH(X209,'玩法产出(新)'!$B$19:$B$25,0),3)*(1-V209)+OFFSET('玩法产出(新)'!$C$18,1+MATCH(X209,'玩法产出(新)'!$B$19:$B$25,0),3)*(V209))^AB209*(1+OFFSET('玩法产出(新)'!$C$18,MATCH(X209,'玩法产出(新)'!$B$19:$B$25,0),4)*(1-V209)+OFFSET('玩法产出(新)'!$C$18,1+MATCH(X209,'玩法产出(新)'!$B$19:$B$25,0),4)*(V209))^AC209*(1+OFFSET('玩法产出(新)'!$C$18,MATCH(X209,'玩法产出(新)'!$B$19:$B$25,0),5)*(1+V209)+OFFSET('玩法产出(新)'!$C$18,1+MATCH(X209,'玩法产出(新)'!$B$19:$B$25,5),1)*(V209))^AD209*(1+OFFSET('玩法产出(新)'!$C$18,MATCH(X209,'玩法产出(新)'!$B$19:$B$25,0),6)*(1+V209)+OFFSET('玩法产出(新)'!$C$18,1+MATCH(X209,'玩法产出(新)'!$B$19:$B$25,0),6)*(V209))^AE209</f>
        <v>10.0064488439428</v>
      </c>
      <c r="U209" s="226">
        <f ca="1" t="shared" si="77"/>
        <v>0.20470349987385</v>
      </c>
      <c r="V209" s="226">
        <f ca="1">COUNTIF($X$124:$X209,X209)/(COUNTIF($X$124:$X$723,X209)+1)</f>
        <v>0.680412371134021</v>
      </c>
      <c r="W209" s="19">
        <v>30</v>
      </c>
      <c r="X209" s="19" t="str">
        <f ca="1" t="shared" si="58"/>
        <v>紫</v>
      </c>
      <c r="Y209" s="19">
        <f t="shared" si="83"/>
        <v>9760</v>
      </c>
      <c r="Z209" s="19">
        <f ca="1" t="shared" si="59"/>
        <v>1.78577319587629</v>
      </c>
      <c r="AA209" s="282">
        <f ca="1" t="shared" si="60"/>
        <v>19.7961083333333</v>
      </c>
      <c r="AB209" s="282">
        <f ca="1" t="shared" si="61"/>
        <v>7.67916666666667</v>
      </c>
      <c r="AC209" s="282">
        <f ca="1" t="shared" si="62"/>
        <v>1.9236</v>
      </c>
      <c r="AD209" s="282">
        <f ca="1" t="shared" si="63"/>
        <v>0.4809</v>
      </c>
      <c r="AE209" s="282">
        <f ca="1" t="shared" si="64"/>
        <v>0.120225</v>
      </c>
      <c r="AF209" s="19" t="str">
        <f t="shared" si="65"/>
        <v>红2</v>
      </c>
      <c r="AG209" s="19">
        <f>IFERROR(_xlfn.XLOOKUP(C209+1,[2]基因升级!$E$141:$E$500,[2]基因升级!$D$141:$D$500)-1,AG208)</f>
        <v>70</v>
      </c>
      <c r="AH209" s="19">
        <v>5</v>
      </c>
      <c r="AI209" s="19">
        <f t="shared" si="66"/>
        <v>6.94668959324004</v>
      </c>
      <c r="AJ209" s="19">
        <f t="shared" si="78"/>
        <v>0</v>
      </c>
      <c r="AK209" s="269">
        <v>1.6</v>
      </c>
      <c r="AL209" s="287">
        <f t="shared" si="87"/>
        <v>5.08</v>
      </c>
      <c r="AQ209" s="19">
        <f t="shared" si="67"/>
        <v>1.41016389362271</v>
      </c>
      <c r="AR209" s="19">
        <f t="shared" si="68"/>
        <v>1</v>
      </c>
      <c r="AS209" s="19">
        <f t="shared" si="69"/>
        <v>1</v>
      </c>
      <c r="AT209" s="19">
        <f t="shared" si="70"/>
        <v>1</v>
      </c>
      <c r="AU209" s="19">
        <f t="shared" si="71"/>
        <v>1</v>
      </c>
      <c r="AV209" s="232">
        <f t="shared" si="50"/>
        <v>0.04</v>
      </c>
      <c r="AW209" s="232">
        <f t="shared" si="51"/>
        <v>0</v>
      </c>
      <c r="AX209" s="232">
        <f t="shared" si="52"/>
        <v>0</v>
      </c>
      <c r="AY209" s="232">
        <f t="shared" si="53"/>
        <v>0</v>
      </c>
      <c r="AZ209" s="232">
        <f t="shared" si="54"/>
        <v>0</v>
      </c>
    </row>
    <row r="210" spans="1:52">
      <c r="A210" s="279">
        <f ca="1">SUM($N$125:N210)</f>
        <v>26.0696459121714</v>
      </c>
      <c r="C210" s="19">
        <v>87</v>
      </c>
      <c r="D210" s="86">
        <f ca="1" t="shared" si="79"/>
        <v>117.295837898318</v>
      </c>
      <c r="E210" s="251">
        <f ca="1" t="shared" si="55"/>
        <v>0.532324954358152</v>
      </c>
      <c r="F210" s="269">
        <f ca="1" t="shared" si="72"/>
        <v>154.270447650589</v>
      </c>
      <c r="G210" s="283">
        <f ca="1" t="shared" si="73"/>
        <v>82.1220090044116</v>
      </c>
      <c r="H210" s="279">
        <f ca="1" t="shared" si="74"/>
        <v>0.326431246946939</v>
      </c>
      <c r="I210" s="269">
        <f ca="1">SUM($J$125:J210)/SUM($H$125:H210)</f>
        <v>0.638534113621589</v>
      </c>
      <c r="J210" s="284">
        <f t="shared" si="80"/>
        <v>0.204783840116143</v>
      </c>
      <c r="K210" s="19">
        <f t="shared" si="82"/>
        <v>9600</v>
      </c>
      <c r="L210" s="269">
        <f t="shared" si="75"/>
        <v>1.47999999999999</v>
      </c>
      <c r="M210" s="226">
        <f ca="1" t="shared" si="76"/>
        <v>8.05199999999999</v>
      </c>
      <c r="N210" s="280">
        <f ca="1" t="shared" si="81"/>
        <v>0.121647406830789</v>
      </c>
      <c r="O210" s="226">
        <f t="shared" si="86"/>
        <v>3.3</v>
      </c>
      <c r="P210" s="19">
        <f ca="1" t="shared" si="49"/>
        <v>15.4</v>
      </c>
      <c r="Q210" s="226">
        <f ca="1" t="shared" si="85"/>
        <v>2.44</v>
      </c>
      <c r="R210" s="269">
        <f ca="1" t="shared" si="56"/>
        <v>0.364552109332266</v>
      </c>
      <c r="S210" s="266">
        <f ca="1" t="shared" si="57"/>
        <v>34.247805887066</v>
      </c>
      <c r="T210" s="226">
        <f ca="1">(1+OFFSET('玩法产出(新)'!$C$18,MATCH(X210,'玩法产出(新)'!$B$19:$B$25,0),1)*(1-V210)+OFFSET('玩法产出(新)'!$C$18,1+MATCH(X210,'玩法产出(新)'!$B$19:$B$25,0),1)*(V210))^AA210*(1+OFFSET('玩法产出(新)'!$C$18,MATCH(X210,'玩法产出(新)'!$B$19:$B$25,0),3)*(1-V210)+OFFSET('玩法产出(新)'!$C$18,1+MATCH(X210,'玩法产出(新)'!$B$19:$B$25,0),3)*(V210))^AB210*(1+OFFSET('玩法产出(新)'!$C$18,MATCH(X210,'玩法产出(新)'!$B$19:$B$25,0),4)*(1-V210)+OFFSET('玩法产出(新)'!$C$18,1+MATCH(X210,'玩法产出(新)'!$B$19:$B$25,0),4)*(V210))^AC210*(1+OFFSET('玩法产出(新)'!$C$18,MATCH(X210,'玩法产出(新)'!$B$19:$B$25,0),5)*(1+V210)+OFFSET('玩法产出(新)'!$C$18,1+MATCH(X210,'玩法产出(新)'!$B$19:$B$25,5),1)*(V210))^AD210*(1+OFFSET('玩法产出(新)'!$C$18,MATCH(X210,'玩法产出(新)'!$B$19:$B$25,0),6)*(1+V210)+OFFSET('玩法产出(新)'!$C$18,1+MATCH(X210,'玩法产出(新)'!$B$19:$B$25,0),6)*(V210))^AE210</f>
        <v>10.1468190219086</v>
      </c>
      <c r="U210" s="226">
        <f ca="1" t="shared" si="77"/>
        <v>0.20589370741122</v>
      </c>
      <c r="V210" s="226">
        <f ca="1">COUNTIF($X$124:$X210,X210)/(COUNTIF($X$124:$X$723,X210)+1)</f>
        <v>0.690721649484536</v>
      </c>
      <c r="W210" s="19">
        <v>30</v>
      </c>
      <c r="X210" s="19" t="str">
        <f ca="1" t="shared" si="58"/>
        <v>紫</v>
      </c>
      <c r="Y210" s="19">
        <f t="shared" si="83"/>
        <v>9860</v>
      </c>
      <c r="Z210" s="19">
        <f ca="1" t="shared" si="59"/>
        <v>1.79010309278351</v>
      </c>
      <c r="AA210" s="282">
        <f ca="1" t="shared" si="60"/>
        <v>19.696346875</v>
      </c>
      <c r="AB210" s="282">
        <f ca="1" t="shared" si="61"/>
        <v>7.7515625</v>
      </c>
      <c r="AC210" s="282">
        <f ca="1" t="shared" si="62"/>
        <v>1.94445</v>
      </c>
      <c r="AD210" s="282">
        <f ca="1" t="shared" si="63"/>
        <v>0.4861125</v>
      </c>
      <c r="AE210" s="282">
        <f ca="1" t="shared" si="64"/>
        <v>0.121528125</v>
      </c>
      <c r="AF210" s="19" t="str">
        <f t="shared" si="65"/>
        <v>红2</v>
      </c>
      <c r="AG210" s="19">
        <f>IFERROR(_xlfn.XLOOKUP(C210+1,[2]基因升级!$E$141:$E$500,[2]基因升级!$D$141:$D$500)-1,AG209)</f>
        <v>70</v>
      </c>
      <c r="AH210" s="19">
        <v>5</v>
      </c>
      <c r="AI210" s="19">
        <f t="shared" si="66"/>
        <v>6.94668959324004</v>
      </c>
      <c r="AJ210" s="19">
        <f t="shared" si="78"/>
        <v>0</v>
      </c>
      <c r="AK210" s="269">
        <v>1.6</v>
      </c>
      <c r="AL210" s="287">
        <f t="shared" si="87"/>
        <v>5.12</v>
      </c>
      <c r="AQ210" s="19">
        <f t="shared" si="67"/>
        <v>1.41398545384895</v>
      </c>
      <c r="AR210" s="19">
        <f t="shared" si="68"/>
        <v>1</v>
      </c>
      <c r="AS210" s="19">
        <f t="shared" si="69"/>
        <v>1</v>
      </c>
      <c r="AT210" s="19">
        <f t="shared" si="70"/>
        <v>1</v>
      </c>
      <c r="AU210" s="19">
        <f t="shared" si="71"/>
        <v>1</v>
      </c>
      <c r="AV210" s="232">
        <f t="shared" si="50"/>
        <v>0.04</v>
      </c>
      <c r="AW210" s="232">
        <f t="shared" si="51"/>
        <v>0</v>
      </c>
      <c r="AX210" s="232">
        <f t="shared" si="52"/>
        <v>0</v>
      </c>
      <c r="AY210" s="232">
        <f t="shared" si="53"/>
        <v>0</v>
      </c>
      <c r="AZ210" s="232">
        <f t="shared" si="54"/>
        <v>0</v>
      </c>
    </row>
    <row r="211" spans="1:52">
      <c r="A211" s="279">
        <f ca="1">SUM($N$125:N211)</f>
        <v>26.1903002678717</v>
      </c>
      <c r="C211" s="19">
        <v>88</v>
      </c>
      <c r="D211" s="86">
        <f ca="1" t="shared" si="79"/>
        <v>118.89549005921</v>
      </c>
      <c r="E211" s="251">
        <f ca="1" t="shared" si="55"/>
        <v>1.59965216089172</v>
      </c>
      <c r="F211" s="269">
        <f ca="1" t="shared" si="72"/>
        <v>51.5397513880951</v>
      </c>
      <c r="G211" s="283">
        <f ca="1" t="shared" si="73"/>
        <v>82.4456746797883</v>
      </c>
      <c r="H211" s="279">
        <f ca="1" t="shared" si="74"/>
        <v>0.323665675376631</v>
      </c>
      <c r="I211" s="269">
        <f ca="1">SUM($J$125:J211)/SUM($H$125:H211)</f>
        <v>0.638483589480897</v>
      </c>
      <c r="J211" s="284">
        <f t="shared" si="80"/>
        <v>0.203011319676328</v>
      </c>
      <c r="K211" s="19">
        <f t="shared" si="82"/>
        <v>9700</v>
      </c>
      <c r="L211" s="269">
        <f t="shared" si="75"/>
        <v>1.48499999999999</v>
      </c>
      <c r="M211" s="226">
        <f ca="1" t="shared" si="76"/>
        <v>8.11799999999999</v>
      </c>
      <c r="N211" s="280">
        <f ca="1" t="shared" si="81"/>
        <v>0.120654355700292</v>
      </c>
      <c r="O211" s="226">
        <f t="shared" si="86"/>
        <v>3.3</v>
      </c>
      <c r="P211" s="19">
        <f ca="1" t="shared" si="49"/>
        <v>15.6</v>
      </c>
      <c r="Q211" s="226">
        <f ca="1" t="shared" si="85"/>
        <v>2.46</v>
      </c>
      <c r="R211" s="269">
        <f ca="1" t="shared" si="56"/>
        <v>0.366756397259156</v>
      </c>
      <c r="S211" s="266">
        <f ca="1" t="shared" si="57"/>
        <v>34.4548874622559</v>
      </c>
      <c r="T211" s="226">
        <f ca="1">(1+OFFSET('玩法产出(新)'!$C$18,MATCH(X211,'玩法产出(新)'!$B$19:$B$25,0),1)*(1-V211)+OFFSET('玩法产出(新)'!$C$18,1+MATCH(X211,'玩法产出(新)'!$B$19:$B$25,0),1)*(V211))^AA211*(1+OFFSET('玩法产出(新)'!$C$18,MATCH(X211,'玩法产出(新)'!$B$19:$B$25,0),3)*(1-V211)+OFFSET('玩法产出(新)'!$C$18,1+MATCH(X211,'玩法产出(新)'!$B$19:$B$25,0),3)*(V211))^AB211*(1+OFFSET('玩法产出(新)'!$C$18,MATCH(X211,'玩法产出(新)'!$B$19:$B$25,0),4)*(1-V211)+OFFSET('玩法产出(新)'!$C$18,1+MATCH(X211,'玩法产出(新)'!$B$19:$B$25,0),4)*(V211))^AC211*(1+OFFSET('玩法产出(新)'!$C$18,MATCH(X211,'玩法产出(新)'!$B$19:$B$25,0),5)*(1+V211)+OFFSET('玩法产出(新)'!$C$18,1+MATCH(X211,'玩法产出(新)'!$B$19:$B$25,5),1)*(V211))^AD211*(1+OFFSET('玩法产出(新)'!$C$18,MATCH(X211,'玩法产出(新)'!$B$19:$B$25,0),6)*(1+V211)+OFFSET('玩法产出(新)'!$C$18,1+MATCH(X211,'玩法产出(新)'!$B$19:$B$25,0),6)*(V211))^AE211</f>
        <v>10.2899852767458</v>
      </c>
      <c r="U211" s="226">
        <f ca="1" t="shared" si="77"/>
        <v>0.207081575189919</v>
      </c>
      <c r="V211" s="226">
        <f ca="1">COUNTIF($X$124:$X211,X211)/(COUNTIF($X$124:$X$723,X211)+1)</f>
        <v>0.701030927835051</v>
      </c>
      <c r="W211" s="19">
        <v>30</v>
      </c>
      <c r="X211" s="19" t="str">
        <f ca="1" t="shared" si="58"/>
        <v>紫</v>
      </c>
      <c r="Y211" s="19">
        <f t="shared" si="83"/>
        <v>9960</v>
      </c>
      <c r="Z211" s="19">
        <f ca="1" t="shared" si="59"/>
        <v>1.79443298969072</v>
      </c>
      <c r="AA211" s="282">
        <f ca="1" t="shared" si="60"/>
        <v>19.5965854166667</v>
      </c>
      <c r="AB211" s="282">
        <f ca="1" t="shared" si="61"/>
        <v>7.82395833333333</v>
      </c>
      <c r="AC211" s="282">
        <f ca="1" t="shared" si="62"/>
        <v>1.9653</v>
      </c>
      <c r="AD211" s="282">
        <f ca="1" t="shared" si="63"/>
        <v>0.491325</v>
      </c>
      <c r="AE211" s="282">
        <f ca="1" t="shared" si="64"/>
        <v>0.12283125</v>
      </c>
      <c r="AF211" s="19" t="str">
        <f t="shared" si="65"/>
        <v>红2</v>
      </c>
      <c r="AG211" s="19">
        <f>IFERROR(_xlfn.XLOOKUP(C211+1,[2]基因升级!$E$141:$E$500,[2]基因升级!$D$141:$D$500)-1,AG210)</f>
        <v>70</v>
      </c>
      <c r="AH211" s="19">
        <v>6</v>
      </c>
      <c r="AI211" s="19">
        <f t="shared" si="66"/>
        <v>8.01559450356522</v>
      </c>
      <c r="AJ211" s="19">
        <f t="shared" si="78"/>
        <v>1.06890491032518</v>
      </c>
      <c r="AK211" s="269">
        <v>1.72</v>
      </c>
      <c r="AL211" s="287">
        <f t="shared" si="87"/>
        <v>5.16</v>
      </c>
      <c r="AQ211" s="19">
        <f t="shared" si="67"/>
        <v>1.41781737054697</v>
      </c>
      <c r="AR211" s="19">
        <f t="shared" si="68"/>
        <v>1</v>
      </c>
      <c r="AS211" s="19">
        <f t="shared" si="69"/>
        <v>1</v>
      </c>
      <c r="AT211" s="19">
        <f t="shared" si="70"/>
        <v>1</v>
      </c>
      <c r="AU211" s="19">
        <f t="shared" si="71"/>
        <v>1</v>
      </c>
      <c r="AV211" s="232">
        <f t="shared" si="50"/>
        <v>0.04</v>
      </c>
      <c r="AW211" s="232">
        <f t="shared" si="51"/>
        <v>0</v>
      </c>
      <c r="AX211" s="232">
        <f t="shared" si="52"/>
        <v>0</v>
      </c>
      <c r="AY211" s="232">
        <f t="shared" si="53"/>
        <v>0</v>
      </c>
      <c r="AZ211" s="232">
        <f t="shared" si="54"/>
        <v>0</v>
      </c>
    </row>
    <row r="212" spans="1:52">
      <c r="A212" s="279">
        <f ca="1">SUM($N$125:N212)</f>
        <v>26.309977654507</v>
      </c>
      <c r="C212" s="19">
        <v>89</v>
      </c>
      <c r="D212" s="86">
        <f ca="1" t="shared" si="79"/>
        <v>119.424707391328</v>
      </c>
      <c r="E212" s="251">
        <f ca="1" t="shared" si="55"/>
        <v>0.529217332118423</v>
      </c>
      <c r="F212" s="269">
        <f ca="1" t="shared" si="72"/>
        <v>156.394395792613</v>
      </c>
      <c r="G212" s="283">
        <f ca="1" t="shared" si="73"/>
        <v>82.7666248996396</v>
      </c>
      <c r="H212" s="279">
        <f ca="1" t="shared" si="74"/>
        <v>0.320950219851298</v>
      </c>
      <c r="I212" s="269">
        <f ca="1">SUM($J$125:J212)/SUM($H$125:H212)</f>
        <v>0.638433448152997</v>
      </c>
      <c r="J212" s="284">
        <f t="shared" si="80"/>
        <v>0.201272833216059</v>
      </c>
      <c r="K212" s="19">
        <f t="shared" si="82"/>
        <v>9800</v>
      </c>
      <c r="L212" s="269">
        <f t="shared" si="75"/>
        <v>1.48999999999999</v>
      </c>
      <c r="M212" s="226">
        <f ca="1" t="shared" si="76"/>
        <v>8.18399999999999</v>
      </c>
      <c r="N212" s="280">
        <f ca="1" t="shared" si="81"/>
        <v>0.119677386635253</v>
      </c>
      <c r="O212" s="226">
        <f t="shared" si="86"/>
        <v>3.3</v>
      </c>
      <c r="P212" s="19">
        <f ca="1" t="shared" si="49"/>
        <v>15.8</v>
      </c>
      <c r="Q212" s="226">
        <f ca="1" t="shared" si="85"/>
        <v>2.48</v>
      </c>
      <c r="R212" s="269">
        <f ca="1" t="shared" si="56"/>
        <v>0.368973304681835</v>
      </c>
      <c r="S212" s="266">
        <f ca="1" t="shared" si="57"/>
        <v>34.6631545745231</v>
      </c>
      <c r="T212" s="226">
        <f ca="1">(1+OFFSET('玩法产出(新)'!$C$18,MATCH(X212,'玩法产出(新)'!$B$19:$B$25,0),1)*(1-V212)+OFFSET('玩法产出(新)'!$C$18,1+MATCH(X212,'玩法产出(新)'!$B$19:$B$25,0),1)*(V212))^AA212*(1+OFFSET('玩法产出(新)'!$C$18,MATCH(X212,'玩法产出(新)'!$B$19:$B$25,0),3)*(1-V212)+OFFSET('玩法产出(新)'!$C$18,1+MATCH(X212,'玩法产出(新)'!$B$19:$B$25,0),3)*(V212))^AB212*(1+OFFSET('玩法产出(新)'!$C$18,MATCH(X212,'玩法产出(新)'!$B$19:$B$25,0),4)*(1-V212)+OFFSET('玩法产出(新)'!$C$18,1+MATCH(X212,'玩法产出(新)'!$B$19:$B$25,0),4)*(V212))^AC212*(1+OFFSET('玩法产出(新)'!$C$18,MATCH(X212,'玩法产出(新)'!$B$19:$B$25,0),5)*(1+V212)+OFFSET('玩法产出(新)'!$C$18,1+MATCH(X212,'玩法产出(新)'!$B$19:$B$25,5),1)*(V212))^AD212*(1+OFFSET('玩法产出(新)'!$C$18,MATCH(X212,'玩法产出(新)'!$B$19:$B$25,0),6)*(1+V212)+OFFSET('玩法产出(新)'!$C$18,1+MATCH(X212,'玩法产出(新)'!$B$19:$B$25,0),6)*(V212))^AE212</f>
        <v>10.4360085896318</v>
      </c>
      <c r="U212" s="226">
        <f ca="1" t="shared" si="77"/>
        <v>0.208267112267111</v>
      </c>
      <c r="V212" s="226">
        <f ca="1">COUNTIF($X$124:$X212,X212)/(COUNTIF($X$124:$X$723,X212)+1)</f>
        <v>0.711340206185567</v>
      </c>
      <c r="W212" s="19">
        <v>30</v>
      </c>
      <c r="X212" s="19" t="str">
        <f ca="1" t="shared" si="58"/>
        <v>紫</v>
      </c>
      <c r="Y212" s="19">
        <f t="shared" si="83"/>
        <v>10060</v>
      </c>
      <c r="Z212" s="19">
        <f ca="1" t="shared" si="59"/>
        <v>1.79876288659794</v>
      </c>
      <c r="AA212" s="282">
        <f ca="1" t="shared" si="60"/>
        <v>19.4968239583333</v>
      </c>
      <c r="AB212" s="282">
        <f ca="1" t="shared" si="61"/>
        <v>7.89635416666667</v>
      </c>
      <c r="AC212" s="282">
        <f ca="1" t="shared" si="62"/>
        <v>1.98615</v>
      </c>
      <c r="AD212" s="282">
        <f ca="1" t="shared" si="63"/>
        <v>0.4965375</v>
      </c>
      <c r="AE212" s="282">
        <f ca="1" t="shared" si="64"/>
        <v>0.124134375</v>
      </c>
      <c r="AF212" s="19" t="str">
        <f t="shared" si="65"/>
        <v>红2</v>
      </c>
      <c r="AG212" s="19">
        <f>IFERROR(_xlfn.XLOOKUP(C212+1,[2]基因升级!$E$141:$E$500,[2]基因升级!$D$141:$D$500)-1,AG211)</f>
        <v>71</v>
      </c>
      <c r="AH212" s="19">
        <v>6</v>
      </c>
      <c r="AI212" s="19">
        <f t="shared" si="66"/>
        <v>8.01559450356522</v>
      </c>
      <c r="AJ212" s="19">
        <f t="shared" si="78"/>
        <v>0</v>
      </c>
      <c r="AK212" s="269">
        <v>1.72</v>
      </c>
      <c r="AL212" s="287">
        <f t="shared" si="87"/>
        <v>5.2</v>
      </c>
      <c r="AQ212" s="19">
        <f t="shared" si="67"/>
        <v>1.42165967178291</v>
      </c>
      <c r="AR212" s="19">
        <f t="shared" si="68"/>
        <v>1</v>
      </c>
      <c r="AS212" s="19">
        <f t="shared" si="69"/>
        <v>1</v>
      </c>
      <c r="AT212" s="19">
        <f t="shared" si="70"/>
        <v>1</v>
      </c>
      <c r="AU212" s="19">
        <f t="shared" si="71"/>
        <v>1</v>
      </c>
      <c r="AV212" s="232">
        <f t="shared" si="50"/>
        <v>0.04</v>
      </c>
      <c r="AW212" s="232">
        <f t="shared" si="51"/>
        <v>0</v>
      </c>
      <c r="AX212" s="232">
        <f t="shared" si="52"/>
        <v>0</v>
      </c>
      <c r="AY212" s="232">
        <f t="shared" si="53"/>
        <v>0</v>
      </c>
      <c r="AZ212" s="232">
        <f t="shared" si="54"/>
        <v>0</v>
      </c>
    </row>
    <row r="213" spans="1:52">
      <c r="A213" s="279">
        <f ca="1">SUM($N$125:N213)</f>
        <v>26.4286937666145</v>
      </c>
      <c r="C213" s="19">
        <v>90</v>
      </c>
      <c r="D213" s="86">
        <f ca="1" t="shared" si="79"/>
        <v>119.952441198355</v>
      </c>
      <c r="E213" s="251">
        <f ca="1" t="shared" si="55"/>
        <v>0.527733807027345</v>
      </c>
      <c r="F213" s="269">
        <f ca="1" t="shared" si="72"/>
        <v>157.437153490371</v>
      </c>
      <c r="G213" s="283">
        <f ca="1" t="shared" si="73"/>
        <v>83.0849083790221</v>
      </c>
      <c r="H213" s="279">
        <f ca="1" t="shared" si="74"/>
        <v>0.318283479382515</v>
      </c>
      <c r="I213" s="269">
        <f ca="1">SUM($J$125:J213)/SUM($H$125:H213)</f>
        <v>0.638383705298582</v>
      </c>
      <c r="J213" s="284">
        <f t="shared" si="80"/>
        <v>0.199567367274931</v>
      </c>
      <c r="K213" s="19">
        <f t="shared" si="82"/>
        <v>9900</v>
      </c>
      <c r="L213" s="269">
        <f t="shared" si="75"/>
        <v>1.49499999999999</v>
      </c>
      <c r="M213" s="226">
        <f ca="1" t="shared" si="76"/>
        <v>8.24999999999999</v>
      </c>
      <c r="N213" s="280">
        <f ca="1" t="shared" si="81"/>
        <v>0.118716112107574</v>
      </c>
      <c r="O213" s="226">
        <f t="shared" si="86"/>
        <v>3.3</v>
      </c>
      <c r="P213" s="19">
        <f ca="1" t="shared" si="49"/>
        <v>16</v>
      </c>
      <c r="Q213" s="226">
        <f ca="1" t="shared" si="85"/>
        <v>2.5</v>
      </c>
      <c r="R213" s="269">
        <f ca="1" t="shared" si="56"/>
        <v>0.371202806886883</v>
      </c>
      <c r="S213" s="266">
        <f ca="1" t="shared" si="57"/>
        <v>34.8726049021679</v>
      </c>
      <c r="T213" s="226">
        <f ca="1">(1+OFFSET('玩法产出(新)'!$C$18,MATCH(X213,'玩法产出(新)'!$B$19:$B$25,0),1)*(1-V213)+OFFSET('玩法产出(新)'!$C$18,1+MATCH(X213,'玩法产出(新)'!$B$19:$B$25,0),1)*(V213))^AA213*(1+OFFSET('玩法产出(新)'!$C$18,MATCH(X213,'玩法产出(新)'!$B$19:$B$25,0),3)*(1-V213)+OFFSET('玩法产出(新)'!$C$18,1+MATCH(X213,'玩法产出(新)'!$B$19:$B$25,0),3)*(V213))^AB213*(1+OFFSET('玩法产出(新)'!$C$18,MATCH(X213,'玩法产出(新)'!$B$19:$B$25,0),4)*(1-V213)+OFFSET('玩法产出(新)'!$C$18,1+MATCH(X213,'玩法产出(新)'!$B$19:$B$25,0),4)*(V213))^AC213*(1+OFFSET('玩法产出(新)'!$C$18,MATCH(X213,'玩法产出(新)'!$B$19:$B$25,0),5)*(1+V213)+OFFSET('玩法产出(新)'!$C$18,1+MATCH(X213,'玩法产出(新)'!$B$19:$B$25,5),1)*(V213))^AD213*(1+OFFSET('玩法产出(新)'!$C$18,MATCH(X213,'玩法产出(新)'!$B$19:$B$25,0),6)*(1+V213)+OFFSET('玩法产出(新)'!$C$18,1+MATCH(X213,'玩法产出(新)'!$B$19:$B$25,0),6)*(V213))^AE213</f>
        <v>10.5849514345985</v>
      </c>
      <c r="U213" s="226">
        <f ca="1" t="shared" si="77"/>
        <v>0.20945032764484</v>
      </c>
      <c r="V213" s="226">
        <f ca="1">COUNTIF($X$124:$X213,X213)/(COUNTIF($X$124:$X$723,X213)+1)</f>
        <v>0.721649484536082</v>
      </c>
      <c r="W213" s="19">
        <v>30</v>
      </c>
      <c r="X213" s="19" t="str">
        <f ca="1" t="shared" si="58"/>
        <v>紫</v>
      </c>
      <c r="Y213" s="19">
        <f t="shared" si="83"/>
        <v>10160</v>
      </c>
      <c r="Z213" s="19">
        <f ca="1" t="shared" si="59"/>
        <v>1.80309278350515</v>
      </c>
      <c r="AA213" s="282">
        <f ca="1" t="shared" si="60"/>
        <v>19.3970625</v>
      </c>
      <c r="AB213" s="282">
        <f ca="1" t="shared" si="61"/>
        <v>7.96875</v>
      </c>
      <c r="AC213" s="282">
        <f ca="1" t="shared" si="62"/>
        <v>2.007</v>
      </c>
      <c r="AD213" s="282">
        <f ca="1" t="shared" si="63"/>
        <v>0.50175</v>
      </c>
      <c r="AE213" s="282">
        <f ca="1" t="shared" si="64"/>
        <v>0.1254375</v>
      </c>
      <c r="AF213" s="19" t="str">
        <f t="shared" si="65"/>
        <v>红2</v>
      </c>
      <c r="AG213" s="19">
        <f>IFERROR(_xlfn.XLOOKUP(C213+1,[2]基因升级!$E$141:$E$500,[2]基因升级!$D$141:$D$500)-1,AG212)</f>
        <v>71</v>
      </c>
      <c r="AH213" s="19">
        <v>6</v>
      </c>
      <c r="AI213" s="19">
        <f t="shared" si="66"/>
        <v>8.01559450356522</v>
      </c>
      <c r="AJ213" s="19">
        <f t="shared" si="78"/>
        <v>0</v>
      </c>
      <c r="AK213" s="269">
        <v>1.72</v>
      </c>
      <c r="AL213" s="287">
        <f t="shared" si="87"/>
        <v>5.24</v>
      </c>
      <c r="AQ213" s="19">
        <f t="shared" si="67"/>
        <v>1.42551238569901</v>
      </c>
      <c r="AR213" s="19">
        <f t="shared" si="68"/>
        <v>1</v>
      </c>
      <c r="AS213" s="19">
        <f t="shared" si="69"/>
        <v>1</v>
      </c>
      <c r="AT213" s="19">
        <f t="shared" si="70"/>
        <v>1</v>
      </c>
      <c r="AU213" s="19">
        <f t="shared" si="71"/>
        <v>1</v>
      </c>
      <c r="AV213" s="232">
        <f t="shared" si="50"/>
        <v>0.04</v>
      </c>
      <c r="AW213" s="232">
        <f t="shared" si="51"/>
        <v>0</v>
      </c>
      <c r="AX213" s="232">
        <f t="shared" si="52"/>
        <v>0</v>
      </c>
      <c r="AY213" s="232">
        <f t="shared" si="53"/>
        <v>0</v>
      </c>
      <c r="AZ213" s="232">
        <f t="shared" si="54"/>
        <v>0</v>
      </c>
    </row>
    <row r="214" spans="1:52">
      <c r="A214" s="279">
        <f ca="1">SUM($N$125:N214)</f>
        <v>26.5464639235555</v>
      </c>
      <c r="C214" s="19">
        <v>91</v>
      </c>
      <c r="D214" s="86">
        <f ca="1" t="shared" si="79"/>
        <v>120.478736534397</v>
      </c>
      <c r="E214" s="251">
        <f ca="1" t="shared" si="55"/>
        <v>0.5262953360418</v>
      </c>
      <c r="F214" s="269">
        <f ca="1" t="shared" si="72"/>
        <v>158.467245999249</v>
      </c>
      <c r="G214" s="283">
        <f ca="1" t="shared" si="73"/>
        <v>83.4005724847935</v>
      </c>
      <c r="H214" s="279">
        <f ca="1" t="shared" si="74"/>
        <v>0.315664105771461</v>
      </c>
      <c r="I214" s="269">
        <f ca="1">SUM($J$125:J214)/SUM($H$125:H214)</f>
        <v>0.638334374993394</v>
      </c>
      <c r="J214" s="284">
        <f t="shared" si="80"/>
        <v>0.197893948830476</v>
      </c>
      <c r="K214" s="19">
        <f t="shared" si="82"/>
        <v>10000</v>
      </c>
      <c r="L214" s="269">
        <f t="shared" si="75"/>
        <v>1.49999999999999</v>
      </c>
      <c r="M214" s="226">
        <f ca="1" t="shared" si="76"/>
        <v>8.31599999999999</v>
      </c>
      <c r="N214" s="280">
        <f ca="1" t="shared" si="81"/>
        <v>0.117770156940995</v>
      </c>
      <c r="O214" s="226">
        <f t="shared" si="86"/>
        <v>3.3</v>
      </c>
      <c r="P214" s="19">
        <f ca="1" t="shared" si="49"/>
        <v>16.2</v>
      </c>
      <c r="Q214" s="226">
        <f ca="1" t="shared" si="85"/>
        <v>2.52</v>
      </c>
      <c r="R214" s="269">
        <f ca="1" t="shared" si="56"/>
        <v>0.373444879256117</v>
      </c>
      <c r="S214" s="266">
        <f ca="1" t="shared" si="57"/>
        <v>35.0832361324382</v>
      </c>
      <c r="T214" s="226">
        <f ca="1">(1+OFFSET('玩法产出(新)'!$C$18,MATCH(X214,'玩法产出(新)'!$B$19:$B$25,0),1)*(1-V214)+OFFSET('玩法产出(新)'!$C$18,1+MATCH(X214,'玩法产出(新)'!$B$19:$B$25,0),1)*(V214))^AA214*(1+OFFSET('玩法产出(新)'!$C$18,MATCH(X214,'玩法产出(新)'!$B$19:$B$25,0),3)*(1-V214)+OFFSET('玩法产出(新)'!$C$18,1+MATCH(X214,'玩法产出(新)'!$B$19:$B$25,0),3)*(V214))^AB214*(1+OFFSET('玩法产出(新)'!$C$18,MATCH(X214,'玩法产出(新)'!$B$19:$B$25,0),4)*(1-V214)+OFFSET('玩法产出(新)'!$C$18,1+MATCH(X214,'玩法产出(新)'!$B$19:$B$25,0),4)*(V214))^AC214*(1+OFFSET('玩法产出(新)'!$C$18,MATCH(X214,'玩法产出(新)'!$B$19:$B$25,0),5)*(1+V214)+OFFSET('玩法产出(新)'!$C$18,1+MATCH(X214,'玩法产出(新)'!$B$19:$B$25,5),1)*(V214))^AD214*(1+OFFSET('玩法产出(新)'!$C$18,MATCH(X214,'玩法产出(新)'!$B$19:$B$25,0),6)*(1+V214)+OFFSET('玩法产出(新)'!$C$18,1+MATCH(X214,'玩法产出(新)'!$B$19:$B$25,0),6)*(V214))^AE214</f>
        <v>10.7368778174627</v>
      </c>
      <c r="U214" s="226">
        <f ca="1" t="shared" si="77"/>
        <v>0.210631230270329</v>
      </c>
      <c r="V214" s="226">
        <f ca="1">COUNTIF($X$124:$X214,X214)/(COUNTIF($X$124:$X$723,X214)+1)</f>
        <v>0.731958762886598</v>
      </c>
      <c r="W214" s="19">
        <v>30</v>
      </c>
      <c r="X214" s="19" t="str">
        <f ca="1" t="shared" si="58"/>
        <v>紫</v>
      </c>
      <c r="Y214" s="19">
        <f t="shared" si="83"/>
        <v>10260</v>
      </c>
      <c r="Z214" s="19">
        <f ca="1" t="shared" si="59"/>
        <v>1.80742268041237</v>
      </c>
      <c r="AA214" s="282">
        <f ca="1" t="shared" si="60"/>
        <v>19.2973010416667</v>
      </c>
      <c r="AB214" s="282">
        <f ca="1" t="shared" si="61"/>
        <v>8.04114583333333</v>
      </c>
      <c r="AC214" s="282">
        <f ca="1" t="shared" si="62"/>
        <v>2.02785</v>
      </c>
      <c r="AD214" s="282">
        <f ca="1" t="shared" si="63"/>
        <v>0.5069625</v>
      </c>
      <c r="AE214" s="282">
        <f ca="1" t="shared" si="64"/>
        <v>0.126740625</v>
      </c>
      <c r="AF214" s="19" t="str">
        <f t="shared" si="65"/>
        <v>红2</v>
      </c>
      <c r="AG214" s="19">
        <f>IFERROR(_xlfn.XLOOKUP(C214+1,[2]基因升级!$E$141:$E$500,[2]基因升级!$D$141:$D$500)-1,AG213)</f>
        <v>71</v>
      </c>
      <c r="AH214" s="19">
        <v>6</v>
      </c>
      <c r="AI214" s="19">
        <f t="shared" si="66"/>
        <v>8.01559450356522</v>
      </c>
      <c r="AJ214" s="19">
        <f t="shared" si="78"/>
        <v>0</v>
      </c>
      <c r="AK214" s="269">
        <v>1.72</v>
      </c>
      <c r="AL214" s="287">
        <f t="shared" si="87"/>
        <v>5.28</v>
      </c>
      <c r="AQ214" s="19">
        <f t="shared" si="67"/>
        <v>1.42937554051373</v>
      </c>
      <c r="AR214" s="19">
        <f t="shared" si="68"/>
        <v>1</v>
      </c>
      <c r="AS214" s="19">
        <f t="shared" si="69"/>
        <v>1</v>
      </c>
      <c r="AT214" s="19">
        <f t="shared" si="70"/>
        <v>1</v>
      </c>
      <c r="AU214" s="19">
        <f t="shared" si="71"/>
        <v>1</v>
      </c>
      <c r="AV214" s="232">
        <f t="shared" si="50"/>
        <v>0.04</v>
      </c>
      <c r="AW214" s="232">
        <f t="shared" si="51"/>
        <v>0</v>
      </c>
      <c r="AX214" s="232">
        <f t="shared" si="52"/>
        <v>0</v>
      </c>
      <c r="AY214" s="232">
        <f t="shared" si="53"/>
        <v>0</v>
      </c>
      <c r="AZ214" s="232">
        <f t="shared" si="54"/>
        <v>0</v>
      </c>
    </row>
    <row r="215" spans="1:52">
      <c r="A215" s="279">
        <f ca="1">SUM($N$125:N215)</f>
        <v>26.6633030813784</v>
      </c>
      <c r="C215" s="19">
        <v>92</v>
      </c>
      <c r="D215" s="86">
        <f ca="1" t="shared" si="79"/>
        <v>121.003637164548</v>
      </c>
      <c r="E215" s="251">
        <f ca="1" t="shared" si="55"/>
        <v>0.524900630150607</v>
      </c>
      <c r="F215" s="269">
        <f ca="1" t="shared" si="72"/>
        <v>159.484783361544</v>
      </c>
      <c r="G215" s="283">
        <f ca="1" t="shared" si="73"/>
        <v>83.7136632859075</v>
      </c>
      <c r="H215" s="279">
        <f ca="1" t="shared" si="74"/>
        <v>0.313090801113987</v>
      </c>
      <c r="I215" s="269">
        <f ca="1">SUM($J$125:J215)/SUM($H$125:H215)</f>
        <v>0.638285469846187</v>
      </c>
      <c r="J215" s="284">
        <f t="shared" si="80"/>
        <v>0.19625164329112</v>
      </c>
      <c r="K215" s="19">
        <f t="shared" si="82"/>
        <v>10100</v>
      </c>
      <c r="L215" s="269">
        <f t="shared" si="75"/>
        <v>1.50499999999999</v>
      </c>
      <c r="M215" s="226">
        <f ca="1" t="shared" si="76"/>
        <v>8.38199999999999</v>
      </c>
      <c r="N215" s="280">
        <f ca="1" t="shared" si="81"/>
        <v>0.116839157822856</v>
      </c>
      <c r="O215" s="226">
        <f t="shared" si="86"/>
        <v>3.3</v>
      </c>
      <c r="P215" s="19">
        <f ca="1" t="shared" si="49"/>
        <v>16.4</v>
      </c>
      <c r="Q215" s="226">
        <f ca="1" t="shared" si="85"/>
        <v>2.54</v>
      </c>
      <c r="R215" s="269">
        <f ca="1" t="shared" si="56"/>
        <v>0.37569949726602</v>
      </c>
      <c r="S215" s="266">
        <f ca="1" t="shared" si="57"/>
        <v>35.2950459614749</v>
      </c>
      <c r="T215" s="226">
        <f ca="1">(1+OFFSET('玩法产出(新)'!$C$18,MATCH(X215,'玩法产出(新)'!$B$19:$B$25,0),1)*(1-V215)+OFFSET('玩法产出(新)'!$C$18,1+MATCH(X215,'玩法产出(新)'!$B$19:$B$25,0),1)*(V215))^AA215*(1+OFFSET('玩法产出(新)'!$C$18,MATCH(X215,'玩法产出(新)'!$B$19:$B$25,0),3)*(1-V215)+OFFSET('玩法产出(新)'!$C$18,1+MATCH(X215,'玩法产出(新)'!$B$19:$B$25,0),3)*(V215))^AB215*(1+OFFSET('玩法产出(新)'!$C$18,MATCH(X215,'玩法产出(新)'!$B$19:$B$25,0),4)*(1-V215)+OFFSET('玩法产出(新)'!$C$18,1+MATCH(X215,'玩法产出(新)'!$B$19:$B$25,0),4)*(V215))^AC215*(1+OFFSET('玩法产出(新)'!$C$18,MATCH(X215,'玩法产出(新)'!$B$19:$B$25,0),5)*(1+V215)+OFFSET('玩法产出(新)'!$C$18,1+MATCH(X215,'玩法产出(新)'!$B$19:$B$25,5),1)*(V215))^AD215*(1+OFFSET('玩法产出(新)'!$C$18,MATCH(X215,'玩法产出(新)'!$B$19:$B$25,0),6)*(1+V215)+OFFSET('玩法产出(新)'!$C$18,1+MATCH(X215,'玩法产出(新)'!$B$19:$B$25,0),6)*(V215))^AE215</f>
        <v>10.8918533158429</v>
      </c>
      <c r="U215" s="226">
        <f ca="1" t="shared" si="77"/>
        <v>0.211809829036632</v>
      </c>
      <c r="V215" s="226">
        <f ca="1">COUNTIF($X$124:$X215,X215)/(COUNTIF($X$124:$X$723,X215)+1)</f>
        <v>0.742268041237113</v>
      </c>
      <c r="W215" s="19">
        <v>30</v>
      </c>
      <c r="X215" s="19" t="str">
        <f ca="1" t="shared" si="58"/>
        <v>紫</v>
      </c>
      <c r="Y215" s="19">
        <f t="shared" si="83"/>
        <v>10360</v>
      </c>
      <c r="Z215" s="19">
        <f ca="1" t="shared" si="59"/>
        <v>1.81175257731959</v>
      </c>
      <c r="AA215" s="282">
        <f ca="1" t="shared" si="60"/>
        <v>19.1975395833333</v>
      </c>
      <c r="AB215" s="282">
        <f ca="1" t="shared" si="61"/>
        <v>8.11354166666667</v>
      </c>
      <c r="AC215" s="282">
        <f ca="1" t="shared" si="62"/>
        <v>2.0487</v>
      </c>
      <c r="AD215" s="282">
        <f ca="1" t="shared" si="63"/>
        <v>0.512175</v>
      </c>
      <c r="AE215" s="282">
        <f ca="1" t="shared" si="64"/>
        <v>0.12804375</v>
      </c>
      <c r="AF215" s="19" t="str">
        <f t="shared" si="65"/>
        <v>红2</v>
      </c>
      <c r="AG215" s="19">
        <f>IFERROR(_xlfn.XLOOKUP(C215+1,[2]基因升级!$E$141:$E$500,[2]基因升级!$D$141:$D$500)-1,AG214)</f>
        <v>71</v>
      </c>
      <c r="AH215" s="19">
        <v>6</v>
      </c>
      <c r="AI215" s="19">
        <f t="shared" si="66"/>
        <v>8.01559450356522</v>
      </c>
      <c r="AJ215" s="19">
        <f t="shared" si="78"/>
        <v>0</v>
      </c>
      <c r="AK215" s="269">
        <v>1.72</v>
      </c>
      <c r="AL215" s="287">
        <f t="shared" si="87"/>
        <v>5.32</v>
      </c>
      <c r="AQ215" s="19">
        <f t="shared" si="67"/>
        <v>1.43324916452204</v>
      </c>
      <c r="AR215" s="19">
        <f t="shared" si="68"/>
        <v>1</v>
      </c>
      <c r="AS215" s="19">
        <f t="shared" si="69"/>
        <v>1</v>
      </c>
      <c r="AT215" s="19">
        <f t="shared" si="70"/>
        <v>1</v>
      </c>
      <c r="AU215" s="19">
        <f t="shared" si="71"/>
        <v>1</v>
      </c>
      <c r="AV215" s="232">
        <f t="shared" si="50"/>
        <v>0.04</v>
      </c>
      <c r="AW215" s="232">
        <f t="shared" si="51"/>
        <v>0</v>
      </c>
      <c r="AX215" s="232">
        <f t="shared" si="52"/>
        <v>0</v>
      </c>
      <c r="AY215" s="232">
        <f t="shared" si="53"/>
        <v>0</v>
      </c>
      <c r="AZ215" s="232">
        <f t="shared" si="54"/>
        <v>0</v>
      </c>
    </row>
    <row r="216" spans="1:52">
      <c r="A216" s="279">
        <f ca="1">SUM($N$125:N216)</f>
        <v>26.7792258442172</v>
      </c>
      <c r="C216" s="19">
        <v>93</v>
      </c>
      <c r="D216" s="86">
        <f ca="1" t="shared" si="79"/>
        <v>121.527185612778</v>
      </c>
      <c r="E216" s="251">
        <f ca="1" t="shared" si="55"/>
        <v>0.523548448229784</v>
      </c>
      <c r="F216" s="269">
        <f ca="1" t="shared" si="72"/>
        <v>160.489876124084</v>
      </c>
      <c r="G216" s="283">
        <f ca="1" t="shared" si="73"/>
        <v>84.0242256013544</v>
      </c>
      <c r="H216" s="279">
        <f ca="1" t="shared" si="74"/>
        <v>0.310562315446845</v>
      </c>
      <c r="I216" s="269">
        <f ca="1">SUM($J$125:J216)/SUM($H$125:H216)</f>
        <v>0.63823700110782</v>
      </c>
      <c r="J216" s="284">
        <f t="shared" si="80"/>
        <v>0.19463955260801</v>
      </c>
      <c r="K216" s="19">
        <f t="shared" si="82"/>
        <v>10200</v>
      </c>
      <c r="L216" s="269">
        <f t="shared" si="75"/>
        <v>1.50999999999999</v>
      </c>
      <c r="M216" s="226">
        <f ca="1" t="shared" si="76"/>
        <v>8.44799999999999</v>
      </c>
      <c r="N216" s="280">
        <f ca="1" t="shared" si="81"/>
        <v>0.115922762838832</v>
      </c>
      <c r="O216" s="226">
        <f t="shared" si="86"/>
        <v>3.3</v>
      </c>
      <c r="P216" s="19">
        <f ca="1" t="shared" si="49"/>
        <v>16.6</v>
      </c>
      <c r="Q216" s="226">
        <f ca="1" t="shared" si="85"/>
        <v>2.56</v>
      </c>
      <c r="R216" s="269">
        <f ca="1" t="shared" si="56"/>
        <v>0.377966636487159</v>
      </c>
      <c r="S216" s="266">
        <f ca="1" t="shared" si="57"/>
        <v>35.5080320942578</v>
      </c>
      <c r="T216" s="226">
        <f ca="1">(1+OFFSET('玩法产出(新)'!$C$18,MATCH(X216,'玩法产出(新)'!$B$19:$B$25,0),1)*(1-V216)+OFFSET('玩法产出(新)'!$C$18,1+MATCH(X216,'玩法产出(新)'!$B$19:$B$25,0),1)*(V216))^AA216*(1+OFFSET('玩法产出(新)'!$C$18,MATCH(X216,'玩法产出(新)'!$B$19:$B$25,0),3)*(1-V216)+OFFSET('玩法产出(新)'!$C$18,1+MATCH(X216,'玩法产出(新)'!$B$19:$B$25,0),3)*(V216))^AB216*(1+OFFSET('玩法产出(新)'!$C$18,MATCH(X216,'玩法产出(新)'!$B$19:$B$25,0),4)*(1-V216)+OFFSET('玩法产出(新)'!$C$18,1+MATCH(X216,'玩法产出(新)'!$B$19:$B$25,0),4)*(V216))^AC216*(1+OFFSET('玩法产出(新)'!$C$18,MATCH(X216,'玩法产出(新)'!$B$19:$B$25,0),5)*(1+V216)+OFFSET('玩法产出(新)'!$C$18,1+MATCH(X216,'玩法产出(新)'!$B$19:$B$25,5),1)*(V216))^AD216*(1+OFFSET('玩法产出(新)'!$C$18,MATCH(X216,'玩法产出(新)'!$B$19:$B$25,0),6)*(1+V216)+OFFSET('玩法产出(新)'!$C$18,1+MATCH(X216,'玩法产出(新)'!$B$19:$B$25,0),6)*(V216))^AE216</f>
        <v>11.0499451202954</v>
      </c>
      <c r="U216" s="226">
        <f ca="1" t="shared" si="77"/>
        <v>0.212986132782943</v>
      </c>
      <c r="V216" s="226">
        <f ca="1">COUNTIF($X$124:$X216,X216)/(COUNTIF($X$124:$X$723,X216)+1)</f>
        <v>0.752577319587629</v>
      </c>
      <c r="W216" s="19">
        <v>30</v>
      </c>
      <c r="X216" s="19" t="str">
        <f ca="1" t="shared" si="58"/>
        <v>紫</v>
      </c>
      <c r="Y216" s="19">
        <f t="shared" si="83"/>
        <v>10460</v>
      </c>
      <c r="Z216" s="19">
        <f ca="1" t="shared" si="59"/>
        <v>1.8160824742268</v>
      </c>
      <c r="AA216" s="282">
        <f ca="1" t="shared" si="60"/>
        <v>19.097778125</v>
      </c>
      <c r="AB216" s="282">
        <f ca="1" t="shared" si="61"/>
        <v>8.1859375</v>
      </c>
      <c r="AC216" s="282">
        <f ca="1" t="shared" si="62"/>
        <v>2.06955</v>
      </c>
      <c r="AD216" s="282">
        <f ca="1" t="shared" si="63"/>
        <v>0.5173875</v>
      </c>
      <c r="AE216" s="282">
        <f ca="1" t="shared" si="64"/>
        <v>0.129346875</v>
      </c>
      <c r="AF216" s="19" t="str">
        <f t="shared" si="65"/>
        <v>红2</v>
      </c>
      <c r="AG216" s="19">
        <f>IFERROR(_xlfn.XLOOKUP(C216+1,[2]基因升级!$E$141:$E$500,[2]基因升级!$D$141:$D$500)-1,AG215)</f>
        <v>71</v>
      </c>
      <c r="AH216" s="19">
        <v>6</v>
      </c>
      <c r="AI216" s="19">
        <f t="shared" si="66"/>
        <v>8.01559450356522</v>
      </c>
      <c r="AJ216" s="19">
        <f t="shared" si="78"/>
        <v>0</v>
      </c>
      <c r="AK216" s="269">
        <v>1.72</v>
      </c>
      <c r="AL216" s="287">
        <f t="shared" si="87"/>
        <v>5.36</v>
      </c>
      <c r="AQ216" s="19">
        <f t="shared" si="67"/>
        <v>1.43713328609557</v>
      </c>
      <c r="AR216" s="19">
        <f t="shared" si="68"/>
        <v>1</v>
      </c>
      <c r="AS216" s="19">
        <f t="shared" si="69"/>
        <v>1</v>
      </c>
      <c r="AT216" s="19">
        <f t="shared" si="70"/>
        <v>1</v>
      </c>
      <c r="AU216" s="19">
        <f t="shared" si="71"/>
        <v>1</v>
      </c>
      <c r="AV216" s="232">
        <f t="shared" si="50"/>
        <v>0.04</v>
      </c>
      <c r="AW216" s="232">
        <f t="shared" si="51"/>
        <v>0</v>
      </c>
      <c r="AX216" s="232">
        <f t="shared" si="52"/>
        <v>0</v>
      </c>
      <c r="AY216" s="232">
        <f t="shared" si="53"/>
        <v>0</v>
      </c>
      <c r="AZ216" s="232">
        <f t="shared" si="54"/>
        <v>0</v>
      </c>
    </row>
    <row r="217" spans="1:52">
      <c r="A217" s="279">
        <f ca="1">SUM($N$125:N217)</f>
        <v>26.8942464752466</v>
      </c>
      <c r="C217" s="19">
        <v>94</v>
      </c>
      <c r="D217" s="86">
        <f ca="1" t="shared" si="79"/>
        <v>122.049423207599</v>
      </c>
      <c r="E217" s="251">
        <f ca="1" t="shared" si="55"/>
        <v>0.522237594821482</v>
      </c>
      <c r="F217" s="269">
        <f ca="1" t="shared" si="72"/>
        <v>161.482635264334</v>
      </c>
      <c r="G217" s="283">
        <f ca="1" t="shared" si="73"/>
        <v>84.3323030458807</v>
      </c>
      <c r="H217" s="279">
        <f ca="1" t="shared" si="74"/>
        <v>0.308077444526333</v>
      </c>
      <c r="I217" s="269">
        <f ca="1">SUM($J$125:J217)/SUM($H$125:H217)</f>
        <v>0.63818897877217</v>
      </c>
      <c r="J217" s="284">
        <f t="shared" si="80"/>
        <v>0.193056813496931</v>
      </c>
      <c r="K217" s="19">
        <f t="shared" si="82"/>
        <v>10300</v>
      </c>
      <c r="L217" s="269">
        <f t="shared" si="75"/>
        <v>1.51499999999999</v>
      </c>
      <c r="M217" s="226">
        <f ca="1" t="shared" si="76"/>
        <v>8.51399999999999</v>
      </c>
      <c r="N217" s="280">
        <f ca="1" t="shared" si="81"/>
        <v>0.115020631029402</v>
      </c>
      <c r="O217" s="226">
        <f t="shared" si="86"/>
        <v>3.3</v>
      </c>
      <c r="P217" s="19">
        <f ca="1" t="shared" si="49"/>
        <v>16.8</v>
      </c>
      <c r="Q217" s="226">
        <f ca="1" t="shared" si="85"/>
        <v>2.58</v>
      </c>
      <c r="R217" s="269">
        <f ca="1" t="shared" si="56"/>
        <v>0.380246272583628</v>
      </c>
      <c r="S217" s="266">
        <f ca="1" t="shared" si="57"/>
        <v>35.722192244553</v>
      </c>
      <c r="T217" s="226">
        <f ca="1">(1+OFFSET('玩法产出(新)'!$C$18,MATCH(X217,'玩法产出(新)'!$B$19:$B$25,0),1)*(1-V217)+OFFSET('玩法产出(新)'!$C$18,1+MATCH(X217,'玩法产出(新)'!$B$19:$B$25,0),1)*(V217))^AA217*(1+OFFSET('玩法产出(新)'!$C$18,MATCH(X217,'玩法产出(新)'!$B$19:$B$25,0),3)*(1-V217)+OFFSET('玩法产出(新)'!$C$18,1+MATCH(X217,'玩法产出(新)'!$B$19:$B$25,0),3)*(V217))^AB217*(1+OFFSET('玩法产出(新)'!$C$18,MATCH(X217,'玩法产出(新)'!$B$19:$B$25,0),4)*(1-V217)+OFFSET('玩法产出(新)'!$C$18,1+MATCH(X217,'玩法产出(新)'!$B$19:$B$25,0),4)*(V217))^AC217*(1+OFFSET('玩法产出(新)'!$C$18,MATCH(X217,'玩法产出(新)'!$B$19:$B$25,0),5)*(1+V217)+OFFSET('玩法产出(新)'!$C$18,1+MATCH(X217,'玩法产出(新)'!$B$19:$B$25,5),1)*(V217))^AD217*(1+OFFSET('玩法产出(新)'!$C$18,MATCH(X217,'玩法产出(新)'!$B$19:$B$25,0),6)*(1+V217)+OFFSET('玩法产出(新)'!$C$18,1+MATCH(X217,'玩法产出(新)'!$B$19:$B$25,0),6)*(V217))^AE217</f>
        <v>11.2112220766023</v>
      </c>
      <c r="U217" s="226">
        <f ca="1" t="shared" si="77"/>
        <v>0.214160150295149</v>
      </c>
      <c r="V217" s="226">
        <f ca="1">COUNTIF($X$124:$X217,X217)/(COUNTIF($X$124:$X$723,X217)+1)</f>
        <v>0.762886597938144</v>
      </c>
      <c r="W217" s="19">
        <v>30</v>
      </c>
      <c r="X217" s="19" t="str">
        <f ca="1" t="shared" si="58"/>
        <v>紫</v>
      </c>
      <c r="Y217" s="19">
        <f t="shared" si="83"/>
        <v>10560</v>
      </c>
      <c r="Z217" s="19">
        <f ca="1" t="shared" si="59"/>
        <v>1.82041237113402</v>
      </c>
      <c r="AA217" s="282">
        <f ca="1" t="shared" si="60"/>
        <v>18.9980166666667</v>
      </c>
      <c r="AB217" s="282">
        <f ca="1" t="shared" si="61"/>
        <v>8.25833333333333</v>
      </c>
      <c r="AC217" s="282">
        <f ca="1" t="shared" si="62"/>
        <v>2.0904</v>
      </c>
      <c r="AD217" s="282">
        <f ca="1" t="shared" si="63"/>
        <v>0.5226</v>
      </c>
      <c r="AE217" s="282">
        <f ca="1" t="shared" si="64"/>
        <v>0.13065</v>
      </c>
      <c r="AF217" s="19" t="str">
        <f t="shared" si="65"/>
        <v>红2</v>
      </c>
      <c r="AG217" s="19">
        <f>IFERROR(_xlfn.XLOOKUP(C217+1,[2]基因升级!$E$141:$E$500,[2]基因升级!$D$141:$D$500)-1,AG216)</f>
        <v>72</v>
      </c>
      <c r="AH217" s="19">
        <v>6</v>
      </c>
      <c r="AI217" s="19">
        <f t="shared" si="66"/>
        <v>8.01559450356522</v>
      </c>
      <c r="AJ217" s="19">
        <f t="shared" si="78"/>
        <v>0</v>
      </c>
      <c r="AK217" s="269">
        <v>1.72</v>
      </c>
      <c r="AL217" s="287">
        <f t="shared" si="87"/>
        <v>5.4</v>
      </c>
      <c r="AQ217" s="19">
        <f t="shared" si="67"/>
        <v>1.44102793368283</v>
      </c>
      <c r="AR217" s="19">
        <f t="shared" si="68"/>
        <v>1</v>
      </c>
      <c r="AS217" s="19">
        <f t="shared" si="69"/>
        <v>1</v>
      </c>
      <c r="AT217" s="19">
        <f t="shared" si="70"/>
        <v>1</v>
      </c>
      <c r="AU217" s="19">
        <f t="shared" si="71"/>
        <v>1</v>
      </c>
      <c r="AV217" s="232">
        <f t="shared" si="50"/>
        <v>0.04</v>
      </c>
      <c r="AW217" s="232">
        <f t="shared" si="51"/>
        <v>0</v>
      </c>
      <c r="AX217" s="232">
        <f t="shared" si="52"/>
        <v>0</v>
      </c>
      <c r="AY217" s="232">
        <f t="shared" si="53"/>
        <v>0</v>
      </c>
      <c r="AZ217" s="232">
        <f t="shared" si="54"/>
        <v>0</v>
      </c>
    </row>
    <row r="218" spans="1:52">
      <c r="A218" s="279">
        <f ca="1">SUM($N$125:N218)</f>
        <v>27.0083789072135</v>
      </c>
      <c r="C218" s="19">
        <v>95</v>
      </c>
      <c r="D218" s="86">
        <f ca="1" t="shared" si="79"/>
        <v>122.570390125636</v>
      </c>
      <c r="E218" s="251">
        <f ca="1" t="shared" si="55"/>
        <v>0.520966918036764</v>
      </c>
      <c r="F218" s="269">
        <f ca="1" t="shared" si="72"/>
        <v>162.463172119575</v>
      </c>
      <c r="G218" s="283">
        <f ca="1" t="shared" si="73"/>
        <v>84.6379380736112</v>
      </c>
      <c r="H218" s="279">
        <f ca="1" t="shared" si="74"/>
        <v>0.30563502773046</v>
      </c>
      <c r="I218" s="269">
        <f ca="1">SUM($J$125:J218)/SUM($H$125:H218)</f>
        <v>0.638141411669536</v>
      </c>
      <c r="J218" s="284">
        <f t="shared" si="80"/>
        <v>0.191502595763559</v>
      </c>
      <c r="K218" s="19">
        <f t="shared" si="82"/>
        <v>10400</v>
      </c>
      <c r="L218" s="269">
        <f t="shared" si="75"/>
        <v>1.51999999999999</v>
      </c>
      <c r="M218" s="226">
        <f ca="1" t="shared" si="76"/>
        <v>8.57999999999999</v>
      </c>
      <c r="N218" s="280">
        <f ca="1" t="shared" si="81"/>
        <v>0.114132431966908</v>
      </c>
      <c r="O218" s="226">
        <f t="shared" si="86"/>
        <v>3.3</v>
      </c>
      <c r="P218" s="19">
        <f ca="1" t="shared" si="49"/>
        <v>17</v>
      </c>
      <c r="Q218" s="226">
        <f ca="1" t="shared" si="85"/>
        <v>2.6</v>
      </c>
      <c r="R218" s="269">
        <f ca="1" t="shared" si="56"/>
        <v>0.382538381312477</v>
      </c>
      <c r="S218" s="266">
        <f ca="1" t="shared" si="57"/>
        <v>35.9375241348592</v>
      </c>
      <c r="T218" s="226">
        <f ca="1">(1+OFFSET('玩法产出(新)'!$C$18,MATCH(X218,'玩法产出(新)'!$B$19:$B$25,0),1)*(1-V218)+OFFSET('玩法产出(新)'!$C$18,1+MATCH(X218,'玩法产出(新)'!$B$19:$B$25,0),1)*(V218))^AA218*(1+OFFSET('玩法产出(新)'!$C$18,MATCH(X218,'玩法产出(新)'!$B$19:$B$25,0),3)*(1-V218)+OFFSET('玩法产出(新)'!$C$18,1+MATCH(X218,'玩法产出(新)'!$B$19:$B$25,0),3)*(V218))^AB218*(1+OFFSET('玩法产出(新)'!$C$18,MATCH(X218,'玩法产出(新)'!$B$19:$B$25,0),4)*(1-V218)+OFFSET('玩法产出(新)'!$C$18,1+MATCH(X218,'玩法产出(新)'!$B$19:$B$25,0),4)*(V218))^AC218*(1+OFFSET('玩法产出(新)'!$C$18,MATCH(X218,'玩法产出(新)'!$B$19:$B$25,0),5)*(1+V218)+OFFSET('玩法产出(新)'!$C$18,1+MATCH(X218,'玩法产出(新)'!$B$19:$B$25,5),1)*(V218))^AD218*(1+OFFSET('玩法产出(新)'!$C$18,MATCH(X218,'玩法产出(新)'!$B$19:$B$25,0),6)*(1+V218)+OFFSET('玩法产出(新)'!$C$18,1+MATCH(X218,'玩法产出(新)'!$B$19:$B$25,0),6)*(V218))^AE218</f>
        <v>11.3757547292448</v>
      </c>
      <c r="U218" s="226">
        <f ca="1" t="shared" si="77"/>
        <v>0.215331890306297</v>
      </c>
      <c r="V218" s="226">
        <f ca="1">COUNTIF($X$124:$X218,X218)/(COUNTIF($X$124:$X$723,X218)+1)</f>
        <v>0.77319587628866</v>
      </c>
      <c r="W218" s="19">
        <v>30</v>
      </c>
      <c r="X218" s="19" t="str">
        <f ca="1" t="shared" si="58"/>
        <v>紫</v>
      </c>
      <c r="Y218" s="19">
        <f t="shared" si="83"/>
        <v>10660</v>
      </c>
      <c r="Z218" s="19">
        <f ca="1" t="shared" si="59"/>
        <v>1.82474226804124</v>
      </c>
      <c r="AA218" s="282">
        <f ca="1" t="shared" si="60"/>
        <v>18.8982552083333</v>
      </c>
      <c r="AB218" s="282">
        <f ca="1" t="shared" si="61"/>
        <v>8.33072916666667</v>
      </c>
      <c r="AC218" s="282">
        <f ca="1" t="shared" si="62"/>
        <v>2.11125</v>
      </c>
      <c r="AD218" s="282">
        <f ca="1" t="shared" si="63"/>
        <v>0.5278125</v>
      </c>
      <c r="AE218" s="282">
        <f ca="1" t="shared" si="64"/>
        <v>0.131953125</v>
      </c>
      <c r="AF218" s="19" t="str">
        <f t="shared" si="65"/>
        <v>红2</v>
      </c>
      <c r="AG218" s="19">
        <f>IFERROR(_xlfn.XLOOKUP(C218+1,[2]基因升级!$E$141:$E$500,[2]基因升级!$D$141:$D$500)-1,AG217)</f>
        <v>72</v>
      </c>
      <c r="AH218" s="19">
        <v>6</v>
      </c>
      <c r="AI218" s="19">
        <f t="shared" si="66"/>
        <v>8.01559450356522</v>
      </c>
      <c r="AJ218" s="19">
        <f t="shared" si="78"/>
        <v>0</v>
      </c>
      <c r="AK218" s="269">
        <v>1.72</v>
      </c>
      <c r="AL218" s="287">
        <f t="shared" si="87"/>
        <v>5.44</v>
      </c>
      <c r="AQ218" s="19">
        <f t="shared" si="67"/>
        <v>1.44493313580946</v>
      </c>
      <c r="AR218" s="19">
        <f t="shared" si="68"/>
        <v>1</v>
      </c>
      <c r="AS218" s="19">
        <f t="shared" si="69"/>
        <v>1</v>
      </c>
      <c r="AT218" s="19">
        <f t="shared" si="70"/>
        <v>1</v>
      </c>
      <c r="AU218" s="19">
        <f t="shared" si="71"/>
        <v>1</v>
      </c>
      <c r="AV218" s="232">
        <f t="shared" si="50"/>
        <v>0.04</v>
      </c>
      <c r="AW218" s="232">
        <f t="shared" si="51"/>
        <v>0</v>
      </c>
      <c r="AX218" s="232">
        <f t="shared" si="52"/>
        <v>0</v>
      </c>
      <c r="AY218" s="232">
        <f t="shared" si="53"/>
        <v>0</v>
      </c>
      <c r="AZ218" s="232">
        <f t="shared" si="54"/>
        <v>0</v>
      </c>
    </row>
    <row r="219" spans="1:52">
      <c r="A219" s="279">
        <f ca="1">SUM($N$125:N219)</f>
        <v>27.1216367525655</v>
      </c>
      <c r="C219" s="19">
        <v>96</v>
      </c>
      <c r="D219" s="86">
        <f ca="1" t="shared" si="79"/>
        <v>123.090125433209</v>
      </c>
      <c r="E219" s="251">
        <f ca="1" t="shared" si="55"/>
        <v>0.519735307573339</v>
      </c>
      <c r="F219" s="269">
        <f ca="1" t="shared" si="72"/>
        <v>163.431598319307</v>
      </c>
      <c r="G219" s="283">
        <f ca="1" t="shared" si="73"/>
        <v>84.9411720196875</v>
      </c>
      <c r="H219" s="279">
        <f ca="1" t="shared" si="74"/>
        <v>0.303233946076375</v>
      </c>
      <c r="I219" s="269">
        <f ca="1">SUM($J$125:J219)/SUM($H$125:H219)</f>
        <v>0.638094307553124</v>
      </c>
      <c r="J219" s="284">
        <f t="shared" si="80"/>
        <v>0.189976100724436</v>
      </c>
      <c r="K219" s="19">
        <f t="shared" si="82"/>
        <v>10500</v>
      </c>
      <c r="L219" s="269">
        <f t="shared" si="75"/>
        <v>1.52499999999999</v>
      </c>
      <c r="M219" s="226">
        <f ca="1" t="shared" si="76"/>
        <v>8.64599999999999</v>
      </c>
      <c r="N219" s="280">
        <f ca="1" t="shared" si="81"/>
        <v>0.113257845351949</v>
      </c>
      <c r="O219" s="226">
        <f t="shared" si="86"/>
        <v>3.3</v>
      </c>
      <c r="P219" s="19">
        <f ca="1" t="shared" si="49"/>
        <v>17.2</v>
      </c>
      <c r="Q219" s="226">
        <f ca="1" t="shared" si="85"/>
        <v>2.62</v>
      </c>
      <c r="R219" s="269">
        <f ca="1" t="shared" si="56"/>
        <v>0.384842938523157</v>
      </c>
      <c r="S219" s="266">
        <f ca="1" t="shared" si="57"/>
        <v>36.1540254963562</v>
      </c>
      <c r="T219" s="226">
        <f ca="1">(1+OFFSET('玩法产出(新)'!$C$18,MATCH(X219,'玩法产出(新)'!$B$19:$B$25,0),1)*(1-V219)+OFFSET('玩法产出(新)'!$C$18,1+MATCH(X219,'玩法产出(新)'!$B$19:$B$25,0),1)*(V219))^AA219*(1+OFFSET('玩法产出(新)'!$C$18,MATCH(X219,'玩法产出(新)'!$B$19:$B$25,0),3)*(1-V219)+OFFSET('玩法产出(新)'!$C$18,1+MATCH(X219,'玩法产出(新)'!$B$19:$B$25,0),3)*(V219))^AB219*(1+OFFSET('玩法产出(新)'!$C$18,MATCH(X219,'玩法产出(新)'!$B$19:$B$25,0),4)*(1-V219)+OFFSET('玩法产出(新)'!$C$18,1+MATCH(X219,'玩法产出(新)'!$B$19:$B$25,0),4)*(V219))^AC219*(1+OFFSET('玩法产出(新)'!$C$18,MATCH(X219,'玩法产出(新)'!$B$19:$B$25,0),5)*(1+V219)+OFFSET('玩法产出(新)'!$C$18,1+MATCH(X219,'玩法产出(新)'!$B$19:$B$25,5),1)*(V219))^AD219*(1+OFFSET('玩法产出(新)'!$C$18,MATCH(X219,'玩法产出(新)'!$B$19:$B$25,0),6)*(1+V219)+OFFSET('玩法产出(新)'!$C$18,1+MATCH(X219,'玩法产出(新)'!$B$19:$B$25,0),6)*(V219))^AE219</f>
        <v>11.5436153660969</v>
      </c>
      <c r="U219" s="226">
        <f ca="1" t="shared" si="77"/>
        <v>0.216501361496953</v>
      </c>
      <c r="V219" s="226">
        <f ca="1">COUNTIF($X$124:$X219,X219)/(COUNTIF($X$124:$X$723,X219)+1)</f>
        <v>0.783505154639175</v>
      </c>
      <c r="W219" s="19">
        <v>30</v>
      </c>
      <c r="X219" s="19" t="str">
        <f ca="1" t="shared" si="58"/>
        <v>紫</v>
      </c>
      <c r="Y219" s="19">
        <f t="shared" si="83"/>
        <v>10760</v>
      </c>
      <c r="Z219" s="19">
        <f ca="1" t="shared" si="59"/>
        <v>1.82907216494845</v>
      </c>
      <c r="AA219" s="282">
        <f ca="1" t="shared" si="60"/>
        <v>18.79849375</v>
      </c>
      <c r="AB219" s="282">
        <f ca="1" t="shared" si="61"/>
        <v>8.403125</v>
      </c>
      <c r="AC219" s="282">
        <f ca="1" t="shared" si="62"/>
        <v>2.1321</v>
      </c>
      <c r="AD219" s="282">
        <f ca="1" t="shared" si="63"/>
        <v>0.533025</v>
      </c>
      <c r="AE219" s="282">
        <f ca="1" t="shared" si="64"/>
        <v>0.13325625</v>
      </c>
      <c r="AF219" s="19" t="str">
        <f t="shared" si="65"/>
        <v>红2</v>
      </c>
      <c r="AG219" s="19">
        <f>IFERROR(_xlfn.XLOOKUP(C219+1,[2]基因升级!$E$141:$E$500,[2]基因升级!$D$141:$D$500)-1,AG218)</f>
        <v>72</v>
      </c>
      <c r="AH219" s="19">
        <v>6</v>
      </c>
      <c r="AI219" s="19">
        <f t="shared" si="66"/>
        <v>8.01559450356522</v>
      </c>
      <c r="AJ219" s="19">
        <f t="shared" si="78"/>
        <v>0</v>
      </c>
      <c r="AK219" s="269">
        <v>1.72</v>
      </c>
      <c r="AL219" s="287">
        <f t="shared" si="87"/>
        <v>5.48</v>
      </c>
      <c r="AQ219" s="19">
        <f t="shared" si="67"/>
        <v>1.44884892107836</v>
      </c>
      <c r="AR219" s="19">
        <f t="shared" si="68"/>
        <v>1</v>
      </c>
      <c r="AS219" s="19">
        <f t="shared" si="69"/>
        <v>1</v>
      </c>
      <c r="AT219" s="19">
        <f t="shared" si="70"/>
        <v>1</v>
      </c>
      <c r="AU219" s="19">
        <f t="shared" si="71"/>
        <v>1</v>
      </c>
      <c r="AV219" s="232">
        <f t="shared" si="50"/>
        <v>0.04</v>
      </c>
      <c r="AW219" s="232">
        <f t="shared" si="51"/>
        <v>0</v>
      </c>
      <c r="AX219" s="232">
        <f t="shared" si="52"/>
        <v>0</v>
      </c>
      <c r="AY219" s="232">
        <f t="shared" si="53"/>
        <v>0</v>
      </c>
      <c r="AZ219" s="232">
        <f t="shared" si="54"/>
        <v>0</v>
      </c>
    </row>
    <row r="220" spans="1:52">
      <c r="A220" s="279">
        <f ca="1">SUM($N$125:N220)</f>
        <v>27.2340333131938</v>
      </c>
      <c r="C220" s="19">
        <v>97</v>
      </c>
      <c r="D220" s="86">
        <f ca="1" t="shared" si="79"/>
        <v>123.608667126051</v>
      </c>
      <c r="E220" s="251">
        <f ca="1" t="shared" si="55"/>
        <v>0.518541692842116</v>
      </c>
      <c r="F220" s="269">
        <f ca="1" t="shared" si="72"/>
        <v>164.388025720409</v>
      </c>
      <c r="G220" s="283">
        <f ca="1" t="shared" si="73"/>
        <v>85.2420451400339</v>
      </c>
      <c r="H220" s="279">
        <f ca="1" t="shared" si="74"/>
        <v>0.300873120346338</v>
      </c>
      <c r="I220" s="269">
        <f ca="1">SUM($J$125:J220)/SUM($H$125:H220)</f>
        <v>0.638047673179161</v>
      </c>
      <c r="J220" s="284">
        <f t="shared" si="80"/>
        <v>0.188476559717984</v>
      </c>
      <c r="K220" s="19">
        <f t="shared" si="82"/>
        <v>10600</v>
      </c>
      <c r="L220" s="269">
        <f t="shared" si="75"/>
        <v>1.52999999999999</v>
      </c>
      <c r="M220" s="226">
        <f ca="1" t="shared" si="76"/>
        <v>8.71199999999999</v>
      </c>
      <c r="N220" s="280">
        <f ca="1" t="shared" si="81"/>
        <v>0.112396560628348</v>
      </c>
      <c r="O220" s="226">
        <f t="shared" si="86"/>
        <v>3.3</v>
      </c>
      <c r="P220" s="19">
        <f ca="1" t="shared" si="49"/>
        <v>17.4</v>
      </c>
      <c r="Q220" s="226">
        <f ca="1" t="shared" si="85"/>
        <v>2.64</v>
      </c>
      <c r="R220" s="269">
        <f ca="1" t="shared" si="56"/>
        <v>0.387159920156969</v>
      </c>
      <c r="S220" s="266">
        <f ca="1" t="shared" si="57"/>
        <v>36.371694068852</v>
      </c>
      <c r="T220" s="226">
        <f ca="1">(1+OFFSET('玩法产出(新)'!$C$18,MATCH(X220,'玩法产出(新)'!$B$19:$B$25,0),1)*(1-V220)+OFFSET('玩法产出(新)'!$C$18,1+MATCH(X220,'玩法产出(新)'!$B$19:$B$25,0),1)*(V220))^AA220*(1+OFFSET('玩法产出(新)'!$C$18,MATCH(X220,'玩法产出(新)'!$B$19:$B$25,0),3)*(1-V220)+OFFSET('玩法产出(新)'!$C$18,1+MATCH(X220,'玩法产出(新)'!$B$19:$B$25,0),3)*(V220))^AB220*(1+OFFSET('玩法产出(新)'!$C$18,MATCH(X220,'玩法产出(新)'!$B$19:$B$25,0),4)*(1-V220)+OFFSET('玩法产出(新)'!$C$18,1+MATCH(X220,'玩法产出(新)'!$B$19:$B$25,0),4)*(V220))^AC220*(1+OFFSET('玩法产出(新)'!$C$18,MATCH(X220,'玩法产出(新)'!$B$19:$B$25,0),5)*(1+V220)+OFFSET('玩法产出(新)'!$C$18,1+MATCH(X220,'玩法产出(新)'!$B$19:$B$25,5),1)*(V220))^AD220*(1+OFFSET('玩法产出(新)'!$C$18,MATCH(X220,'玩法产出(新)'!$B$19:$B$25,0),6)*(1+V220)+OFFSET('玩法产出(新)'!$C$18,1+MATCH(X220,'玩法产出(新)'!$B$19:$B$25,0),6)*(V220))^AE220</f>
        <v>11.7148780643757</v>
      </c>
      <c r="U220" s="226">
        <f ca="1" t="shared" si="77"/>
        <v>0.217668572495784</v>
      </c>
      <c r="V220" s="226">
        <f ca="1">COUNTIF($X$124:$X220,X220)/(COUNTIF($X$124:$X$723,X220)+1)</f>
        <v>0.793814432989691</v>
      </c>
      <c r="W220" s="19">
        <v>30</v>
      </c>
      <c r="X220" s="19" t="str">
        <f ca="1" t="shared" si="58"/>
        <v>紫</v>
      </c>
      <c r="Y220" s="19">
        <f t="shared" si="83"/>
        <v>10860</v>
      </c>
      <c r="Z220" s="19">
        <f ca="1" t="shared" si="59"/>
        <v>1.83340206185567</v>
      </c>
      <c r="AA220" s="282">
        <f ca="1" t="shared" si="60"/>
        <v>18.6987322916667</v>
      </c>
      <c r="AB220" s="282">
        <f ca="1" t="shared" si="61"/>
        <v>8.47552083333333</v>
      </c>
      <c r="AC220" s="282">
        <f ca="1" t="shared" si="62"/>
        <v>2.15295</v>
      </c>
      <c r="AD220" s="282">
        <f ca="1" t="shared" si="63"/>
        <v>0.5382375</v>
      </c>
      <c r="AE220" s="282">
        <f ca="1" t="shared" si="64"/>
        <v>0.134559375</v>
      </c>
      <c r="AF220" s="19" t="str">
        <f t="shared" si="65"/>
        <v>红2</v>
      </c>
      <c r="AG220" s="19">
        <f>IFERROR(_xlfn.XLOOKUP(C220+1,[2]基因升级!$E$141:$E$500,[2]基因升级!$D$141:$D$500)-1,AG219)</f>
        <v>72</v>
      </c>
      <c r="AH220" s="19">
        <v>6</v>
      </c>
      <c r="AI220" s="19">
        <f t="shared" si="66"/>
        <v>8.01559450356522</v>
      </c>
      <c r="AJ220" s="19">
        <f t="shared" si="78"/>
        <v>0</v>
      </c>
      <c r="AK220" s="269">
        <v>1.72</v>
      </c>
      <c r="AL220" s="287">
        <f t="shared" si="87"/>
        <v>5.52</v>
      </c>
      <c r="AQ220" s="19">
        <f t="shared" si="67"/>
        <v>1.45277531816997</v>
      </c>
      <c r="AR220" s="19">
        <f t="shared" si="68"/>
        <v>1</v>
      </c>
      <c r="AS220" s="19">
        <f t="shared" si="69"/>
        <v>1</v>
      </c>
      <c r="AT220" s="19">
        <f t="shared" si="70"/>
        <v>1</v>
      </c>
      <c r="AU220" s="19">
        <f t="shared" si="71"/>
        <v>1</v>
      </c>
      <c r="AV220" s="232">
        <f t="shared" si="50"/>
        <v>0.04</v>
      </c>
      <c r="AW220" s="232">
        <f t="shared" si="51"/>
        <v>0</v>
      </c>
      <c r="AX220" s="232">
        <f t="shared" si="52"/>
        <v>0</v>
      </c>
      <c r="AY220" s="232">
        <f t="shared" si="53"/>
        <v>0</v>
      </c>
      <c r="AZ220" s="232">
        <f t="shared" si="54"/>
        <v>0</v>
      </c>
    </row>
    <row r="221" spans="1:52">
      <c r="A221" s="279">
        <f ca="1">SUM($N$125:N221)</f>
        <v>27.3455815898093</v>
      </c>
      <c r="C221" s="19">
        <v>98</v>
      </c>
      <c r="D221" s="86">
        <f ca="1" t="shared" si="79"/>
        <v>124.126052167246</v>
      </c>
      <c r="E221" s="251">
        <f ca="1" t="shared" si="55"/>
        <v>0.517385041194374</v>
      </c>
      <c r="F221" s="269">
        <f ca="1" t="shared" si="72"/>
        <v>165.332566345327</v>
      </c>
      <c r="G221" s="283">
        <f ca="1" t="shared" si="73"/>
        <v>85.5405966493484</v>
      </c>
      <c r="H221" s="279">
        <f ca="1" t="shared" si="74"/>
        <v>0.298551509314521</v>
      </c>
      <c r="I221" s="269">
        <f ca="1">SUM($J$125:J221)/SUM($H$125:H221)</f>
        <v>0.63800151438114</v>
      </c>
      <c r="J221" s="284">
        <f t="shared" si="80"/>
        <v>0.187003232699098</v>
      </c>
      <c r="K221" s="19">
        <f t="shared" si="82"/>
        <v>10700</v>
      </c>
      <c r="L221" s="269">
        <f t="shared" si="75"/>
        <v>1.53499999999999</v>
      </c>
      <c r="M221" s="226">
        <f ca="1" t="shared" si="76"/>
        <v>8.77799999999999</v>
      </c>
      <c r="N221" s="280">
        <f ca="1" t="shared" si="81"/>
        <v>0.111548276615427</v>
      </c>
      <c r="O221" s="226">
        <f t="shared" si="86"/>
        <v>3.3</v>
      </c>
      <c r="P221" s="19">
        <f ca="1" t="shared" si="49"/>
        <v>17.6</v>
      </c>
      <c r="Q221" s="226">
        <f ca="1" t="shared" si="85"/>
        <v>2.66</v>
      </c>
      <c r="R221" s="269">
        <f ca="1" t="shared" si="56"/>
        <v>0.389489302246511</v>
      </c>
      <c r="S221" s="266">
        <f ca="1" t="shared" si="57"/>
        <v>36.5905276007318</v>
      </c>
      <c r="T221" s="226">
        <f ca="1">(1+OFFSET('玩法产出(新)'!$C$18,MATCH(X221,'玩法产出(新)'!$B$19:$B$25,0),1)*(1-V221)+OFFSET('玩法产出(新)'!$C$18,1+MATCH(X221,'玩法产出(新)'!$B$19:$B$25,0),1)*(V221))^AA221*(1+OFFSET('玩法产出(新)'!$C$18,MATCH(X221,'玩法产出(新)'!$B$19:$B$25,0),3)*(1-V221)+OFFSET('玩法产出(新)'!$C$18,1+MATCH(X221,'玩法产出(新)'!$B$19:$B$25,0),3)*(V221))^AB221*(1+OFFSET('玩法产出(新)'!$C$18,MATCH(X221,'玩法产出(新)'!$B$19:$B$25,0),4)*(1-V221)+OFFSET('玩法产出(新)'!$C$18,1+MATCH(X221,'玩法产出(新)'!$B$19:$B$25,0),4)*(V221))^AC221*(1+OFFSET('玩法产出(新)'!$C$18,MATCH(X221,'玩法产出(新)'!$B$19:$B$25,0),5)*(1+V221)+OFFSET('玩法产出(新)'!$C$18,1+MATCH(X221,'玩法产出(新)'!$B$19:$B$25,5),1)*(V221))^AD221*(1+OFFSET('玩法产出(新)'!$C$18,MATCH(X221,'玩法产出(新)'!$B$19:$B$25,0),6)*(1+V221)+OFFSET('玩法产出(新)'!$C$18,1+MATCH(X221,'玩法产出(新)'!$B$19:$B$25,0),6)*(V221))^AE221</f>
        <v>11.8896187378849</v>
      </c>
      <c r="U221" s="226">
        <f ca="1" t="shared" si="77"/>
        <v>0.218833531879849</v>
      </c>
      <c r="V221" s="226">
        <f ca="1">COUNTIF($X$124:$X221,X221)/(COUNTIF($X$124:$X$723,X221)+1)</f>
        <v>0.804123711340206</v>
      </c>
      <c r="W221" s="19">
        <v>30</v>
      </c>
      <c r="X221" s="19" t="str">
        <f ca="1" t="shared" si="58"/>
        <v>紫</v>
      </c>
      <c r="Y221" s="19">
        <f t="shared" si="83"/>
        <v>10960</v>
      </c>
      <c r="Z221" s="19">
        <f ca="1" t="shared" si="59"/>
        <v>1.83773195876289</v>
      </c>
      <c r="AA221" s="282">
        <f ca="1" t="shared" si="60"/>
        <v>18.5989708333333</v>
      </c>
      <c r="AB221" s="282">
        <f ca="1" t="shared" si="61"/>
        <v>8.54791666666667</v>
      </c>
      <c r="AC221" s="282">
        <f ca="1" t="shared" si="62"/>
        <v>2.1738</v>
      </c>
      <c r="AD221" s="282">
        <f ca="1" t="shared" si="63"/>
        <v>0.54345</v>
      </c>
      <c r="AE221" s="282">
        <f ca="1" t="shared" si="64"/>
        <v>0.1358625</v>
      </c>
      <c r="AF221" s="19" t="str">
        <f t="shared" si="65"/>
        <v>红2</v>
      </c>
      <c r="AG221" s="19">
        <f>IFERROR(_xlfn.XLOOKUP(C221+1,[2]基因升级!$E$141:$E$500,[2]基因升级!$D$141:$D$500)-1,AG220)</f>
        <v>72</v>
      </c>
      <c r="AH221" s="19">
        <v>6</v>
      </c>
      <c r="AI221" s="19">
        <f t="shared" si="66"/>
        <v>8.01559450356522</v>
      </c>
      <c r="AJ221" s="19">
        <f t="shared" si="78"/>
        <v>0</v>
      </c>
      <c r="AK221" s="269">
        <v>1.72</v>
      </c>
      <c r="AL221" s="287">
        <f t="shared" si="87"/>
        <v>5.56</v>
      </c>
      <c r="AQ221" s="19">
        <f t="shared" si="67"/>
        <v>1.45671235584247</v>
      </c>
      <c r="AR221" s="19">
        <f t="shared" si="68"/>
        <v>1</v>
      </c>
      <c r="AS221" s="19">
        <f t="shared" si="69"/>
        <v>1</v>
      </c>
      <c r="AT221" s="19">
        <f t="shared" si="70"/>
        <v>1</v>
      </c>
      <c r="AU221" s="19">
        <f t="shared" si="71"/>
        <v>1</v>
      </c>
      <c r="AV221" s="232">
        <f t="shared" si="50"/>
        <v>0.04</v>
      </c>
      <c r="AW221" s="232">
        <f t="shared" si="51"/>
        <v>0</v>
      </c>
      <c r="AX221" s="232">
        <f t="shared" si="52"/>
        <v>0</v>
      </c>
      <c r="AY221" s="232">
        <f t="shared" si="53"/>
        <v>0</v>
      </c>
      <c r="AZ221" s="232">
        <f t="shared" si="54"/>
        <v>0</v>
      </c>
    </row>
    <row r="222" spans="1:52">
      <c r="A222" s="279">
        <f ca="1">SUM($N$125:N222)</f>
        <v>27.4562942909661</v>
      </c>
      <c r="C222" s="19">
        <v>99</v>
      </c>
      <c r="D222" s="86">
        <f ca="1" t="shared" si="79"/>
        <v>124.64231652349</v>
      </c>
      <c r="E222" s="251">
        <f ca="1" t="shared" si="55"/>
        <v>0.516264356244244</v>
      </c>
      <c r="F222" s="269">
        <f ca="1" t="shared" si="72"/>
        <v>166.265332322901</v>
      </c>
      <c r="G222" s="283">
        <f ca="1" t="shared" si="73"/>
        <v>85.8368647574175</v>
      </c>
      <c r="H222" s="279">
        <f ca="1" t="shared" si="74"/>
        <v>0.2962681080691</v>
      </c>
      <c r="I222" s="269">
        <f ca="1">SUM($J$125:J222)/SUM($H$125:H222)</f>
        <v>0.637955836138642</v>
      </c>
      <c r="J222" s="284">
        <f t="shared" si="80"/>
        <v>0.185555406912229</v>
      </c>
      <c r="K222" s="19">
        <f t="shared" si="82"/>
        <v>10800</v>
      </c>
      <c r="L222" s="269">
        <f t="shared" si="75"/>
        <v>1.53999999999999</v>
      </c>
      <c r="M222" s="226">
        <f ca="1" t="shared" si="76"/>
        <v>8.84399999999999</v>
      </c>
      <c r="N222" s="280">
        <f ca="1" t="shared" si="81"/>
        <v>0.110712701156842</v>
      </c>
      <c r="O222" s="226">
        <f t="shared" si="86"/>
        <v>3.3</v>
      </c>
      <c r="P222" s="19">
        <f ca="1" t="shared" si="49"/>
        <v>17.8</v>
      </c>
      <c r="Q222" s="226">
        <f ca="1" t="shared" si="85"/>
        <v>2.68</v>
      </c>
      <c r="R222" s="269">
        <f ca="1" t="shared" si="56"/>
        <v>0.391831060915136</v>
      </c>
      <c r="S222" s="266">
        <f ca="1" t="shared" si="57"/>
        <v>36.810523848907</v>
      </c>
      <c r="T222" s="226">
        <f ca="1">(1+OFFSET('玩法产出(新)'!$C$18,MATCH(X222,'玩法产出(新)'!$B$19:$B$25,0),1)*(1-V222)+OFFSET('玩法产出(新)'!$C$18,1+MATCH(X222,'玩法产出(新)'!$B$19:$B$25,0),1)*(V222))^AA222*(1+OFFSET('玩法产出(新)'!$C$18,MATCH(X222,'玩法产出(新)'!$B$19:$B$25,0),3)*(1-V222)+OFFSET('玩法产出(新)'!$C$18,1+MATCH(X222,'玩法产出(新)'!$B$19:$B$25,0),3)*(V222))^AB222*(1+OFFSET('玩法产出(新)'!$C$18,MATCH(X222,'玩法产出(新)'!$B$19:$B$25,0),4)*(1-V222)+OFFSET('玩法产出(新)'!$C$18,1+MATCH(X222,'玩法产出(新)'!$B$19:$B$25,0),4)*(V222))^AC222*(1+OFFSET('玩法产出(新)'!$C$18,MATCH(X222,'玩法产出(新)'!$B$19:$B$25,0),5)*(1+V222)+OFFSET('玩法产出(新)'!$C$18,1+MATCH(X222,'玩法产出(新)'!$B$19:$B$25,5),1)*(V222))^AD222*(1+OFFSET('玩法产出(新)'!$C$18,MATCH(X222,'玩法产出(新)'!$B$19:$B$25,0),6)*(1+V222)+OFFSET('玩法产出(新)'!$C$18,1+MATCH(X222,'玩法产出(新)'!$B$19:$B$25,0),6)*(V222))^AE222</f>
        <v>12.0679151855899</v>
      </c>
      <c r="U222" s="226">
        <f ca="1" t="shared" si="77"/>
        <v>0.219996248175172</v>
      </c>
      <c r="V222" s="226">
        <f ca="1">COUNTIF($X$124:$X222,X222)/(COUNTIF($X$124:$X$723,X222)+1)</f>
        <v>0.814432989690722</v>
      </c>
      <c r="W222" s="19">
        <v>30</v>
      </c>
      <c r="X222" s="19" t="str">
        <f ca="1" t="shared" si="58"/>
        <v>紫</v>
      </c>
      <c r="Y222" s="19">
        <f t="shared" si="83"/>
        <v>11060</v>
      </c>
      <c r="Z222" s="19">
        <f ca="1" t="shared" si="59"/>
        <v>1.8420618556701</v>
      </c>
      <c r="AA222" s="282">
        <f ca="1" t="shared" si="60"/>
        <v>18.499209375</v>
      </c>
      <c r="AB222" s="282">
        <f ca="1" t="shared" si="61"/>
        <v>8.6203125</v>
      </c>
      <c r="AC222" s="282">
        <f ca="1" t="shared" si="62"/>
        <v>2.19465</v>
      </c>
      <c r="AD222" s="282">
        <f ca="1" t="shared" si="63"/>
        <v>0.5486625</v>
      </c>
      <c r="AE222" s="282">
        <f ca="1" t="shared" si="64"/>
        <v>0.137165625</v>
      </c>
      <c r="AF222" s="19" t="str">
        <f t="shared" si="65"/>
        <v>红2</v>
      </c>
      <c r="AG222" s="19">
        <f>IFERROR(_xlfn.XLOOKUP(C222+1,[2]基因升级!$E$141:$E$500,[2]基因升级!$D$141:$D$500)-1,AG221)</f>
        <v>73</v>
      </c>
      <c r="AH222" s="19">
        <v>6</v>
      </c>
      <c r="AI222" s="19">
        <f t="shared" si="66"/>
        <v>8.01559450356522</v>
      </c>
      <c r="AJ222" s="19">
        <f t="shared" si="78"/>
        <v>0</v>
      </c>
      <c r="AK222" s="269">
        <v>1.72</v>
      </c>
      <c r="AL222" s="287">
        <f t="shared" si="87"/>
        <v>5.6</v>
      </c>
      <c r="AQ222" s="19">
        <f t="shared" si="67"/>
        <v>1.46066006293193</v>
      </c>
      <c r="AR222" s="19">
        <f t="shared" si="68"/>
        <v>1</v>
      </c>
      <c r="AS222" s="19">
        <f t="shared" si="69"/>
        <v>1</v>
      </c>
      <c r="AT222" s="19">
        <f t="shared" si="70"/>
        <v>1</v>
      </c>
      <c r="AU222" s="19">
        <f t="shared" si="71"/>
        <v>1</v>
      </c>
      <c r="AV222" s="232">
        <f t="shared" si="50"/>
        <v>0.04</v>
      </c>
      <c r="AW222" s="232">
        <f t="shared" si="51"/>
        <v>0</v>
      </c>
      <c r="AX222" s="232">
        <f t="shared" si="52"/>
        <v>0</v>
      </c>
      <c r="AY222" s="232">
        <f t="shared" si="53"/>
        <v>0</v>
      </c>
      <c r="AZ222" s="232">
        <f t="shared" si="54"/>
        <v>0</v>
      </c>
    </row>
    <row r="223" spans="1:52">
      <c r="A223" s="279">
        <f ca="1">SUM($N$125:N223)</f>
        <v>27.5661838417513</v>
      </c>
      <c r="C223" s="19">
        <v>100</v>
      </c>
      <c r="D223" s="86">
        <f ca="1" t="shared" si="79"/>
        <v>125.15749519977</v>
      </c>
      <c r="E223" s="251">
        <f ca="1" t="shared" si="55"/>
        <v>0.515178676279968</v>
      </c>
      <c r="F223" s="269">
        <f ca="1" t="shared" si="72"/>
        <v>167.186435831893</v>
      </c>
      <c r="G223" s="283">
        <f ca="1" t="shared" si="73"/>
        <v>86.1308867038404</v>
      </c>
      <c r="H223" s="279">
        <f ca="1" t="shared" si="74"/>
        <v>0.294021946422887</v>
      </c>
      <c r="I223" s="269">
        <f ca="1">SUM($J$125:J223)/SUM($H$125:H223)</f>
        <v>0.637910642641172</v>
      </c>
      <c r="J223" s="284">
        <f t="shared" si="80"/>
        <v>0.184132395637739</v>
      </c>
      <c r="K223" s="19">
        <f t="shared" si="82"/>
        <v>10900</v>
      </c>
      <c r="L223" s="269">
        <f t="shared" si="75"/>
        <v>1.54499999999999</v>
      </c>
      <c r="M223" s="226">
        <f ca="1" t="shared" si="76"/>
        <v>8.90999999999999</v>
      </c>
      <c r="N223" s="280">
        <f ca="1" t="shared" si="81"/>
        <v>0.109889550785159</v>
      </c>
      <c r="O223" s="226">
        <f t="shared" si="86"/>
        <v>3.3</v>
      </c>
      <c r="P223" s="19">
        <f ca="1" t="shared" si="49"/>
        <v>18</v>
      </c>
      <c r="Q223" s="226">
        <f ca="1" t="shared" si="85"/>
        <v>2.7</v>
      </c>
      <c r="R223" s="269">
        <f ca="1" t="shared" si="56"/>
        <v>0.394185172376416</v>
      </c>
      <c r="S223" s="266">
        <f ca="1" t="shared" si="57"/>
        <v>37.0316805787641</v>
      </c>
      <c r="T223" s="226">
        <f ca="1">(1+OFFSET('玩法产出(新)'!$C$18,MATCH(X223,'玩法产出(新)'!$B$19:$B$25,0),1)*(1-V223)+OFFSET('玩法产出(新)'!$C$18,1+MATCH(X223,'玩法产出(新)'!$B$19:$B$25,0),1)*(V223))^AA223*(1+OFFSET('玩法产出(新)'!$C$18,MATCH(X223,'玩法产出(新)'!$B$19:$B$25,0),3)*(1-V223)+OFFSET('玩法产出(新)'!$C$18,1+MATCH(X223,'玩法产出(新)'!$B$19:$B$25,0),3)*(V223))^AB223*(1+OFFSET('玩法产出(新)'!$C$18,MATCH(X223,'玩法产出(新)'!$B$19:$B$25,0),4)*(1-V223)+OFFSET('玩法产出(新)'!$C$18,1+MATCH(X223,'玩法产出(新)'!$B$19:$B$25,0),4)*(V223))^AC223*(1+OFFSET('玩法产出(新)'!$C$18,MATCH(X223,'玩法产出(新)'!$B$19:$B$25,0),5)*(1+V223)+OFFSET('玩法产出(新)'!$C$18,1+MATCH(X223,'玩法产出(新)'!$B$19:$B$25,5),1)*(V223))^AD223*(1+OFFSET('玩法产出(新)'!$C$18,MATCH(X223,'玩法产出(新)'!$B$19:$B$25,0),6)*(1+V223)+OFFSET('玩法产出(新)'!$C$18,1+MATCH(X223,'玩法产出(新)'!$B$19:$B$25,0),6)*(V223))^AE223</f>
        <v>12.2498471415638</v>
      </c>
      <c r="U223" s="226">
        <f ca="1" t="shared" si="77"/>
        <v>0.221156729857071</v>
      </c>
      <c r="V223" s="226">
        <f ca="1">COUNTIF($X$124:$X223,X223)/(COUNTIF($X$124:$X$723,X223)+1)</f>
        <v>0.824742268041237</v>
      </c>
      <c r="W223" s="19">
        <v>30</v>
      </c>
      <c r="X223" s="19" t="str">
        <f ca="1" t="shared" si="58"/>
        <v>紫</v>
      </c>
      <c r="Y223" s="19">
        <f t="shared" si="83"/>
        <v>11160</v>
      </c>
      <c r="Z223" s="19">
        <f ca="1" t="shared" si="59"/>
        <v>1.84639175257732</v>
      </c>
      <c r="AA223" s="282">
        <f ca="1" t="shared" si="60"/>
        <v>18.3994479166667</v>
      </c>
      <c r="AB223" s="282">
        <f ca="1" t="shared" si="61"/>
        <v>8.69270833333333</v>
      </c>
      <c r="AC223" s="282">
        <f ca="1" t="shared" si="62"/>
        <v>2.2155</v>
      </c>
      <c r="AD223" s="282">
        <f ca="1" t="shared" si="63"/>
        <v>0.553875</v>
      </c>
      <c r="AE223" s="282">
        <f ca="1" t="shared" si="64"/>
        <v>0.13846875</v>
      </c>
      <c r="AF223" s="19" t="str">
        <f t="shared" si="65"/>
        <v>红2</v>
      </c>
      <c r="AG223" s="19">
        <f>IFERROR(_xlfn.XLOOKUP(C223+1,[2]基因升级!$E$141:$E$500,[2]基因升级!$D$141:$D$500)-1,AG222)</f>
        <v>73</v>
      </c>
      <c r="AH223" s="19">
        <v>6</v>
      </c>
      <c r="AI223" s="19">
        <f t="shared" si="66"/>
        <v>8.01559450356522</v>
      </c>
      <c r="AJ223" s="19">
        <f t="shared" si="78"/>
        <v>0</v>
      </c>
      <c r="AK223" s="269">
        <v>1.72</v>
      </c>
      <c r="AL223" s="287">
        <f t="shared" si="87"/>
        <v>5.64</v>
      </c>
      <c r="AQ223" s="19">
        <f t="shared" si="67"/>
        <v>1.4646184683526</v>
      </c>
      <c r="AR223" s="19">
        <f t="shared" si="68"/>
        <v>1</v>
      </c>
      <c r="AS223" s="19">
        <f t="shared" si="69"/>
        <v>1</v>
      </c>
      <c r="AT223" s="19">
        <f t="shared" si="70"/>
        <v>1</v>
      </c>
      <c r="AU223" s="19">
        <f t="shared" si="71"/>
        <v>1</v>
      </c>
      <c r="AV223" s="232">
        <f t="shared" si="50"/>
        <v>0.04</v>
      </c>
      <c r="AW223" s="232">
        <f t="shared" si="51"/>
        <v>0</v>
      </c>
      <c r="AX223" s="232">
        <f t="shared" si="52"/>
        <v>0</v>
      </c>
      <c r="AY223" s="232">
        <f t="shared" si="53"/>
        <v>0</v>
      </c>
      <c r="AZ223" s="232">
        <f t="shared" si="54"/>
        <v>0</v>
      </c>
    </row>
    <row r="224" spans="1:52">
      <c r="A224" s="279">
        <f ca="1">SUM($N$125:N224)</f>
        <v>27.6752623921524</v>
      </c>
      <c r="C224" s="19">
        <v>101</v>
      </c>
      <c r="D224" s="86">
        <f ca="1" t="shared" si="79"/>
        <v>125.671622272529</v>
      </c>
      <c r="E224" s="251">
        <f ca="1" t="shared" si="55"/>
        <v>0.514127072758554</v>
      </c>
      <c r="F224" s="269">
        <f ca="1" t="shared" si="72"/>
        <v>168.095989047117</v>
      </c>
      <c r="G224" s="283">
        <f ca="1" t="shared" si="73"/>
        <v>86.4226987912483</v>
      </c>
      <c r="H224" s="279">
        <f ca="1" t="shared" si="74"/>
        <v>0.291812087407905</v>
      </c>
      <c r="I224" s="269">
        <f ca="1">SUM($J$125:J224)/SUM($H$125:H224)</f>
        <v>0.637865937347378</v>
      </c>
      <c r="J224" s="284">
        <f t="shared" si="80"/>
        <v>0.18273353700679</v>
      </c>
      <c r="K224" s="19">
        <f t="shared" si="82"/>
        <v>11000</v>
      </c>
      <c r="L224" s="269">
        <f t="shared" si="75"/>
        <v>1.54999999999999</v>
      </c>
      <c r="M224" s="226">
        <f ca="1" t="shared" si="76"/>
        <v>8.97599999999999</v>
      </c>
      <c r="N224" s="280">
        <f ca="1" t="shared" si="81"/>
        <v>0.109078550401115</v>
      </c>
      <c r="O224" s="226">
        <f t="shared" si="86"/>
        <v>3.3</v>
      </c>
      <c r="P224" s="19">
        <f ca="1" t="shared" si="49"/>
        <v>18.2</v>
      </c>
      <c r="Q224" s="226">
        <f ca="1" t="shared" si="85"/>
        <v>2.72</v>
      </c>
      <c r="R224" s="269">
        <f ca="1" t="shared" si="56"/>
        <v>0.396551612933601</v>
      </c>
      <c r="S224" s="266">
        <f ca="1" t="shared" si="57"/>
        <v>37.2539955641147</v>
      </c>
      <c r="T224" s="226">
        <f ca="1">(1+OFFSET('玩法产出(新)'!$C$18,MATCH(X224,'玩法产出(新)'!$B$19:$B$25,0),1)*(1-V224)+OFFSET('玩法产出(新)'!$C$18,1+MATCH(X224,'玩法产出(新)'!$B$19:$B$25,0),1)*(V224))^AA224*(1+OFFSET('玩法产出(新)'!$C$18,MATCH(X224,'玩法产出(新)'!$B$19:$B$25,0),3)*(1-V224)+OFFSET('玩法产出(新)'!$C$18,1+MATCH(X224,'玩法产出(新)'!$B$19:$B$25,0),3)*(V224))^AB224*(1+OFFSET('玩法产出(新)'!$C$18,MATCH(X224,'玩法产出(新)'!$B$19:$B$25,0),4)*(1-V224)+OFFSET('玩法产出(新)'!$C$18,1+MATCH(X224,'玩法产出(新)'!$B$19:$B$25,0),4)*(V224))^AC224*(1+OFFSET('玩法产出(新)'!$C$18,MATCH(X224,'玩法产出(新)'!$B$19:$B$25,0),5)*(1+V224)+OFFSET('玩法产出(新)'!$C$18,1+MATCH(X224,'玩法产出(新)'!$B$19:$B$25,5),1)*(V224))^AD224*(1+OFFSET('玩法产出(新)'!$C$18,MATCH(X224,'玩法产出(新)'!$B$19:$B$25,0),6)*(1+V224)+OFFSET('玩法产出(新)'!$C$18,1+MATCH(X224,'玩法产出(新)'!$B$19:$B$25,0),6)*(V224))^AE224</f>
        <v>12.4354963263454</v>
      </c>
      <c r="U224" s="226">
        <f ca="1" t="shared" si="77"/>
        <v>0.222314985350649</v>
      </c>
      <c r="V224" s="226">
        <f ca="1">COUNTIF($X$124:$X224,X224)/(COUNTIF($X$124:$X$723,X224)+1)</f>
        <v>0.835051546391753</v>
      </c>
      <c r="W224" s="19">
        <v>30</v>
      </c>
      <c r="X224" s="19" t="str">
        <f ca="1" t="shared" si="58"/>
        <v>紫</v>
      </c>
      <c r="Y224" s="19">
        <f t="shared" si="83"/>
        <v>11260</v>
      </c>
      <c r="Z224" s="19">
        <f ca="1" t="shared" si="59"/>
        <v>1.85072164948454</v>
      </c>
      <c r="AA224" s="282">
        <f ca="1" t="shared" si="60"/>
        <v>18.2996864583333</v>
      </c>
      <c r="AB224" s="282">
        <f ca="1" t="shared" si="61"/>
        <v>8.76510416666667</v>
      </c>
      <c r="AC224" s="282">
        <f ca="1" t="shared" si="62"/>
        <v>2.23635</v>
      </c>
      <c r="AD224" s="282">
        <f ca="1" t="shared" si="63"/>
        <v>0.5590875</v>
      </c>
      <c r="AE224" s="282">
        <f ca="1" t="shared" si="64"/>
        <v>0.139771875</v>
      </c>
      <c r="AF224" s="19" t="str">
        <f t="shared" si="65"/>
        <v>红2</v>
      </c>
      <c r="AG224" s="19">
        <f>IFERROR(_xlfn.XLOOKUP(C224+1,[2]基因升级!$E$141:$E$500,[2]基因升级!$D$141:$D$500)-1,AG223)</f>
        <v>73</v>
      </c>
      <c r="AH224" s="19">
        <v>6</v>
      </c>
      <c r="AI224" s="19">
        <f t="shared" si="66"/>
        <v>8.01559450356522</v>
      </c>
      <c r="AJ224" s="19">
        <f t="shared" si="78"/>
        <v>0</v>
      </c>
      <c r="AK224" s="269">
        <v>1.72</v>
      </c>
      <c r="AL224" s="287">
        <f t="shared" si="87"/>
        <v>5.68</v>
      </c>
      <c r="AQ224" s="19">
        <f t="shared" si="67"/>
        <v>1.46858760109709</v>
      </c>
      <c r="AR224" s="19">
        <f t="shared" si="68"/>
        <v>1</v>
      </c>
      <c r="AS224" s="19">
        <f t="shared" si="69"/>
        <v>1</v>
      </c>
      <c r="AT224" s="19">
        <f t="shared" si="70"/>
        <v>1</v>
      </c>
      <c r="AU224" s="19">
        <f t="shared" si="71"/>
        <v>1</v>
      </c>
      <c r="AV224" s="232">
        <f t="shared" si="50"/>
        <v>0.04</v>
      </c>
      <c r="AW224" s="232">
        <f t="shared" si="51"/>
        <v>0</v>
      </c>
      <c r="AX224" s="232">
        <f t="shared" si="52"/>
        <v>0</v>
      </c>
      <c r="AY224" s="232">
        <f t="shared" si="53"/>
        <v>0</v>
      </c>
      <c r="AZ224" s="232">
        <f t="shared" si="54"/>
        <v>0</v>
      </c>
    </row>
    <row r="225" spans="1:52">
      <c r="A225" s="279">
        <f ca="1">SUM($N$125:N225)</f>
        <v>27.7835418251196</v>
      </c>
      <c r="C225" s="19">
        <v>102</v>
      </c>
      <c r="D225" s="86">
        <f ca="1" t="shared" si="79"/>
        <v>126.184730921408</v>
      </c>
      <c r="E225" s="251">
        <f ca="1" t="shared" si="55"/>
        <v>0.513108648879076</v>
      </c>
      <c r="F225" s="269">
        <f ca="1" t="shared" si="72"/>
        <v>168.994104087947</v>
      </c>
      <c r="G225" s="283">
        <f ca="1" t="shared" si="73"/>
        <v>86.7123364170962</v>
      </c>
      <c r="H225" s="279">
        <f ca="1" t="shared" si="74"/>
        <v>0.289637625847888</v>
      </c>
      <c r="I225" s="269">
        <f ca="1">SUM($J$125:J225)/SUM($H$125:H225)</f>
        <v>0.637821723040002</v>
      </c>
      <c r="J225" s="284">
        <f t="shared" si="80"/>
        <v>0.181358192880673</v>
      </c>
      <c r="K225" s="19">
        <f t="shared" si="82"/>
        <v>11100</v>
      </c>
      <c r="L225" s="269">
        <f t="shared" si="75"/>
        <v>1.55499999999999</v>
      </c>
      <c r="M225" s="226">
        <f ca="1" t="shared" si="76"/>
        <v>9.04199999999999</v>
      </c>
      <c r="N225" s="280">
        <f ca="1" t="shared" si="81"/>
        <v>0.108279432967212</v>
      </c>
      <c r="O225" s="226">
        <f t="shared" si="86"/>
        <v>3.3</v>
      </c>
      <c r="P225" s="19">
        <f ca="1" t="shared" si="49"/>
        <v>18.4</v>
      </c>
      <c r="Q225" s="226">
        <f ca="1" t="shared" si="85"/>
        <v>2.74</v>
      </c>
      <c r="R225" s="269">
        <f ca="1" t="shared" si="56"/>
        <v>0.398930358979093</v>
      </c>
      <c r="S225" s="266">
        <f ca="1" t="shared" si="57"/>
        <v>37.4774665871459</v>
      </c>
      <c r="T225" s="226">
        <f ca="1">(1+OFFSET('玩法产出(新)'!$C$18,MATCH(X225,'玩法产出(新)'!$B$19:$B$25,0),1)*(1-V225)+OFFSET('玩法产出(新)'!$C$18,1+MATCH(X225,'玩法产出(新)'!$B$19:$B$25,0),1)*(V225))^AA225*(1+OFFSET('玩法产出(新)'!$C$18,MATCH(X225,'玩法产出(新)'!$B$19:$B$25,0),3)*(1-V225)+OFFSET('玩法产出(新)'!$C$18,1+MATCH(X225,'玩法产出(新)'!$B$19:$B$25,0),3)*(V225))^AB225*(1+OFFSET('玩法产出(新)'!$C$18,MATCH(X225,'玩法产出(新)'!$B$19:$B$25,0),4)*(1-V225)+OFFSET('玩法产出(新)'!$C$18,1+MATCH(X225,'玩法产出(新)'!$B$19:$B$25,0),4)*(V225))^AC225*(1+OFFSET('玩法产出(新)'!$C$18,MATCH(X225,'玩法产出(新)'!$B$19:$B$25,0),5)*(1+V225)+OFFSET('玩法产出(新)'!$C$18,1+MATCH(X225,'玩法产出(新)'!$B$19:$B$25,5),1)*(V225))^AD225*(1+OFFSET('玩法产出(新)'!$C$18,MATCH(X225,'玩法产出(新)'!$B$19:$B$25,0),6)*(1+V225)+OFFSET('玩法产出(新)'!$C$18,1+MATCH(X225,'玩法产出(新)'!$B$19:$B$25,0),6)*(V225))^AE225</f>
        <v>12.6249464997496</v>
      </c>
      <c r="U225" s="226">
        <f ca="1" t="shared" si="77"/>
        <v>0.223471023031191</v>
      </c>
      <c r="V225" s="226">
        <f ca="1">COUNTIF($X$124:$X225,X225)/(COUNTIF($X$124:$X$723,X225)+1)</f>
        <v>0.845360824742268</v>
      </c>
      <c r="W225" s="19">
        <v>30</v>
      </c>
      <c r="X225" s="19" t="str">
        <f ca="1" t="shared" si="58"/>
        <v>紫</v>
      </c>
      <c r="Y225" s="19">
        <f t="shared" si="83"/>
        <v>11360</v>
      </c>
      <c r="Z225" s="19">
        <f ca="1" t="shared" si="59"/>
        <v>1.85505154639175</v>
      </c>
      <c r="AA225" s="282">
        <f ca="1" t="shared" si="60"/>
        <v>18.199925</v>
      </c>
      <c r="AB225" s="282">
        <f ca="1" t="shared" si="61"/>
        <v>8.8375</v>
      </c>
      <c r="AC225" s="282">
        <f ca="1" t="shared" si="62"/>
        <v>2.2572</v>
      </c>
      <c r="AD225" s="282">
        <f ca="1" t="shared" si="63"/>
        <v>0.5643</v>
      </c>
      <c r="AE225" s="282">
        <f ca="1" t="shared" si="64"/>
        <v>0.141075</v>
      </c>
      <c r="AF225" s="19" t="str">
        <f t="shared" si="65"/>
        <v>红2</v>
      </c>
      <c r="AG225" s="19">
        <f>IFERROR(_xlfn.XLOOKUP(C225+1,[2]基因升级!$E$141:$E$500,[2]基因升级!$D$141:$D$500)-1,AG224)</f>
        <v>73</v>
      </c>
      <c r="AH225" s="19">
        <v>6</v>
      </c>
      <c r="AI225" s="19">
        <f t="shared" si="66"/>
        <v>8.01559450356522</v>
      </c>
      <c r="AJ225" s="19">
        <f t="shared" si="78"/>
        <v>0</v>
      </c>
      <c r="AK225" s="269">
        <v>1.72</v>
      </c>
      <c r="AL225" s="287">
        <f t="shared" si="87"/>
        <v>5.72</v>
      </c>
      <c r="AQ225" s="19">
        <f t="shared" si="67"/>
        <v>1.47256749023656</v>
      </c>
      <c r="AR225" s="19">
        <f t="shared" si="68"/>
        <v>1</v>
      </c>
      <c r="AS225" s="19">
        <f t="shared" si="69"/>
        <v>1</v>
      </c>
      <c r="AT225" s="19">
        <f t="shared" si="70"/>
        <v>1</v>
      </c>
      <c r="AU225" s="19">
        <f t="shared" si="71"/>
        <v>1</v>
      </c>
      <c r="AV225" s="232">
        <f t="shared" si="50"/>
        <v>0.04</v>
      </c>
      <c r="AW225" s="232">
        <f t="shared" si="51"/>
        <v>0</v>
      </c>
      <c r="AX225" s="232">
        <f t="shared" si="52"/>
        <v>0</v>
      </c>
      <c r="AY225" s="232">
        <f t="shared" si="53"/>
        <v>0</v>
      </c>
      <c r="AZ225" s="232">
        <f t="shared" si="54"/>
        <v>0</v>
      </c>
    </row>
    <row r="226" spans="1:52">
      <c r="A226" s="279">
        <f ca="1">SUM($N$125:N226)</f>
        <v>27.8910337643341</v>
      </c>
      <c r="C226" s="19">
        <v>103</v>
      </c>
      <c r="D226" s="86">
        <f ca="1" t="shared" si="79"/>
        <v>126.696853459637</v>
      </c>
      <c r="E226" s="251">
        <f ca="1" t="shared" si="55"/>
        <v>0.512122538229306</v>
      </c>
      <c r="F226" s="269">
        <f ca="1" t="shared" si="72"/>
        <v>169.880892969304</v>
      </c>
      <c r="G226" s="283">
        <f ca="1" t="shared" si="73"/>
        <v>86.9998341041009</v>
      </c>
      <c r="H226" s="279">
        <f ca="1" t="shared" si="74"/>
        <v>0.287497687004745</v>
      </c>
      <c r="I226" s="269">
        <f ca="1">SUM($J$125:J226)/SUM($H$125:H226)</f>
        <v>0.637778001876908</v>
      </c>
      <c r="J226" s="284">
        <f t="shared" si="80"/>
        <v>0.180005747790283</v>
      </c>
      <c r="K226" s="19">
        <f t="shared" si="82"/>
        <v>11200</v>
      </c>
      <c r="L226" s="269">
        <f t="shared" si="75"/>
        <v>1.55999999999999</v>
      </c>
      <c r="M226" s="226">
        <f ca="1" t="shared" si="76"/>
        <v>9.10799999999999</v>
      </c>
      <c r="N226" s="280">
        <f ca="1" t="shared" si="81"/>
        <v>0.107491939214462</v>
      </c>
      <c r="O226" s="226">
        <f t="shared" si="86"/>
        <v>3.3</v>
      </c>
      <c r="P226" s="19">
        <f ca="1" t="shared" si="49"/>
        <v>18.6</v>
      </c>
      <c r="Q226" s="226">
        <f ca="1" t="shared" si="85"/>
        <v>2.76</v>
      </c>
      <c r="R226" s="269">
        <f ca="1" t="shared" si="56"/>
        <v>0.401321386993921</v>
      </c>
      <c r="S226" s="266">
        <f ca="1" t="shared" si="57"/>
        <v>37.7020914383705</v>
      </c>
      <c r="T226" s="226">
        <f ca="1">(1+OFFSET('玩法产出(新)'!$C$18,MATCH(X226,'玩法产出(新)'!$B$19:$B$25,0),1)*(1-V226)+OFFSET('玩法产出(新)'!$C$18,1+MATCH(X226,'玩法产出(新)'!$B$19:$B$25,0),1)*(V226))^AA226*(1+OFFSET('玩法产出(新)'!$C$18,MATCH(X226,'玩法产出(新)'!$B$19:$B$25,0),3)*(1-V226)+OFFSET('玩法产出(新)'!$C$18,1+MATCH(X226,'玩法产出(新)'!$B$19:$B$25,0),3)*(V226))^AB226*(1+OFFSET('玩法产出(新)'!$C$18,MATCH(X226,'玩法产出(新)'!$B$19:$B$25,0),4)*(1-V226)+OFFSET('玩法产出(新)'!$C$18,1+MATCH(X226,'玩法产出(新)'!$B$19:$B$25,0),4)*(V226))^AC226*(1+OFFSET('玩法产出(新)'!$C$18,MATCH(X226,'玩法产出(新)'!$B$19:$B$25,0),5)*(1+V226)+OFFSET('玩法产出(新)'!$C$18,1+MATCH(X226,'玩法产出(新)'!$B$19:$B$25,5),1)*(V226))^AD226*(1+OFFSET('玩法产出(新)'!$C$18,MATCH(X226,'玩法产出(新)'!$B$19:$B$25,0),6)*(1+V226)+OFFSET('玩法产出(新)'!$C$18,1+MATCH(X226,'玩法产出(新)'!$B$19:$B$25,0),6)*(V226))^AE226</f>
        <v>12.8182835151754</v>
      </c>
      <c r="U226" s="226">
        <f ca="1" t="shared" si="77"/>
        <v>0.224624851224561</v>
      </c>
      <c r="V226" s="226">
        <f ca="1">COUNTIF($X$124:$X226,X226)/(COUNTIF($X$124:$X$723,X226)+1)</f>
        <v>0.855670103092783</v>
      </c>
      <c r="W226" s="19">
        <v>30</v>
      </c>
      <c r="X226" s="19" t="str">
        <f ca="1" t="shared" si="58"/>
        <v>紫</v>
      </c>
      <c r="Y226" s="19">
        <f t="shared" si="83"/>
        <v>11460</v>
      </c>
      <c r="Z226" s="19">
        <f ca="1" t="shared" si="59"/>
        <v>1.85938144329897</v>
      </c>
      <c r="AA226" s="282">
        <f ca="1" t="shared" si="60"/>
        <v>18.1001635416667</v>
      </c>
      <c r="AB226" s="282">
        <f ca="1" t="shared" si="61"/>
        <v>8.90989583333333</v>
      </c>
      <c r="AC226" s="282">
        <f ca="1" t="shared" si="62"/>
        <v>2.27805</v>
      </c>
      <c r="AD226" s="282">
        <f ca="1" t="shared" si="63"/>
        <v>0.5695125</v>
      </c>
      <c r="AE226" s="282">
        <f ca="1" t="shared" si="64"/>
        <v>0.142378125</v>
      </c>
      <c r="AF226" s="19" t="str">
        <f t="shared" si="65"/>
        <v>红2</v>
      </c>
      <c r="AG226" s="19">
        <f>IFERROR(_xlfn.XLOOKUP(C226+1,[2]基因升级!$E$141:$E$500,[2]基因升级!$D$141:$D$500)-1,AG225)</f>
        <v>73</v>
      </c>
      <c r="AH226" s="19">
        <v>6</v>
      </c>
      <c r="AI226" s="19">
        <f t="shared" si="66"/>
        <v>8.01559450356522</v>
      </c>
      <c r="AJ226" s="19">
        <f t="shared" si="78"/>
        <v>0</v>
      </c>
      <c r="AK226" s="269">
        <v>1.72</v>
      </c>
      <c r="AL226" s="287">
        <f t="shared" si="87"/>
        <v>5.76</v>
      </c>
      <c r="AQ226" s="19">
        <f t="shared" si="67"/>
        <v>1.47655816492097</v>
      </c>
      <c r="AR226" s="19">
        <f t="shared" si="68"/>
        <v>1</v>
      </c>
      <c r="AS226" s="19">
        <f t="shared" si="69"/>
        <v>1</v>
      </c>
      <c r="AT226" s="19">
        <f t="shared" si="70"/>
        <v>1</v>
      </c>
      <c r="AU226" s="19">
        <f t="shared" si="71"/>
        <v>1</v>
      </c>
      <c r="AV226" s="232">
        <f t="shared" si="50"/>
        <v>0.04</v>
      </c>
      <c r="AW226" s="232">
        <f t="shared" si="51"/>
        <v>0</v>
      </c>
      <c r="AX226" s="232">
        <f t="shared" si="52"/>
        <v>0</v>
      </c>
      <c r="AY226" s="232">
        <f t="shared" si="53"/>
        <v>0</v>
      </c>
      <c r="AZ226" s="232">
        <f t="shared" si="54"/>
        <v>0</v>
      </c>
    </row>
    <row r="227" spans="1:52">
      <c r="A227" s="279">
        <f ca="1">SUM($N$125:N227)</f>
        <v>27.997749581696</v>
      </c>
      <c r="C227" s="19">
        <v>104</v>
      </c>
      <c r="D227" s="86">
        <f ca="1" t="shared" si="79"/>
        <v>127.208021363139</v>
      </c>
      <c r="E227" s="251">
        <f ca="1" t="shared" si="55"/>
        <v>0.511167903501615</v>
      </c>
      <c r="F227" s="269">
        <f ca="1" t="shared" si="72"/>
        <v>170.75646755493</v>
      </c>
      <c r="G227" s="283">
        <f ca="1" t="shared" si="73"/>
        <v>87.2852255293949</v>
      </c>
      <c r="H227" s="279">
        <f ca="1" t="shared" si="74"/>
        <v>0.285391425293938</v>
      </c>
      <c r="I227" s="269">
        <f ca="1">SUM($J$125:J227)/SUM($H$125:H227)</f>
        <v>0.637734775438454</v>
      </c>
      <c r="J227" s="284">
        <f t="shared" si="80"/>
        <v>0.178675607932007</v>
      </c>
      <c r="K227" s="19">
        <f t="shared" si="82"/>
        <v>11300</v>
      </c>
      <c r="L227" s="269">
        <f t="shared" si="75"/>
        <v>1.56499999999999</v>
      </c>
      <c r="M227" s="226">
        <f ca="1" t="shared" si="76"/>
        <v>9.17399999999999</v>
      </c>
      <c r="N227" s="280">
        <f ca="1" t="shared" si="81"/>
        <v>0.106715817361934</v>
      </c>
      <c r="O227" s="226">
        <f t="shared" si="86"/>
        <v>3.3</v>
      </c>
      <c r="P227" s="19">
        <f ca="1" t="shared" si="49"/>
        <v>18.8</v>
      </c>
      <c r="Q227" s="226">
        <f ca="1" t="shared" si="85"/>
        <v>2.78</v>
      </c>
      <c r="R227" s="269">
        <f ca="1" t="shared" si="56"/>
        <v>0.403724673547216</v>
      </c>
      <c r="S227" s="266">
        <f ca="1" t="shared" si="57"/>
        <v>37.9278679165782</v>
      </c>
      <c r="T227" s="226">
        <f ca="1">(1+OFFSET('玩法产出(新)'!$C$18,MATCH(X227,'玩法产出(新)'!$B$19:$B$25,0),1)*(1-V227)+OFFSET('玩法产出(新)'!$C$18,1+MATCH(X227,'玩法产出(新)'!$B$19:$B$25,0),1)*(V227))^AA227*(1+OFFSET('玩法产出(新)'!$C$18,MATCH(X227,'玩法产出(新)'!$B$19:$B$25,0),3)*(1-V227)+OFFSET('玩法产出(新)'!$C$18,1+MATCH(X227,'玩法产出(新)'!$B$19:$B$25,0),3)*(V227))^AB227*(1+OFFSET('玩法产出(新)'!$C$18,MATCH(X227,'玩法产出(新)'!$B$19:$B$25,0),4)*(1-V227)+OFFSET('玩法产出(新)'!$C$18,1+MATCH(X227,'玩法产出(新)'!$B$19:$B$25,0),4)*(V227))^AC227*(1+OFFSET('玩法产出(新)'!$C$18,MATCH(X227,'玩法产出(新)'!$B$19:$B$25,0),5)*(1+V227)+OFFSET('玩法产出(新)'!$C$18,1+MATCH(X227,'玩法产出(新)'!$B$19:$B$25,5),1)*(V227))^AD227*(1+OFFSET('玩法产出(新)'!$C$18,MATCH(X227,'玩法产出(新)'!$B$19:$B$25,0),6)*(1+V227)+OFFSET('玩法产出(新)'!$C$18,1+MATCH(X227,'玩法产出(新)'!$B$19:$B$25,0),6)*(V227))^AE227</f>
        <v>13.0155953754543</v>
      </c>
      <c r="U227" s="226">
        <f ca="1" t="shared" si="77"/>
        <v>0.225776478207674</v>
      </c>
      <c r="V227" s="226">
        <f ca="1">COUNTIF($X$124:$X227,X227)/(COUNTIF($X$124:$X$723,X227)+1)</f>
        <v>0.865979381443299</v>
      </c>
      <c r="W227" s="19">
        <v>30</v>
      </c>
      <c r="X227" s="19" t="str">
        <f ca="1" t="shared" si="58"/>
        <v>紫</v>
      </c>
      <c r="Y227" s="19">
        <f t="shared" si="83"/>
        <v>11560</v>
      </c>
      <c r="Z227" s="19">
        <f ca="1" t="shared" si="59"/>
        <v>1.86371134020619</v>
      </c>
      <c r="AA227" s="282">
        <f ca="1" t="shared" si="60"/>
        <v>18.0004020833333</v>
      </c>
      <c r="AB227" s="282">
        <f ca="1" t="shared" si="61"/>
        <v>8.98229166666667</v>
      </c>
      <c r="AC227" s="282">
        <f ca="1" t="shared" si="62"/>
        <v>2.2989</v>
      </c>
      <c r="AD227" s="282">
        <f ca="1" t="shared" si="63"/>
        <v>0.574725</v>
      </c>
      <c r="AE227" s="282">
        <f ca="1" t="shared" si="64"/>
        <v>0.14368125</v>
      </c>
      <c r="AF227" s="19" t="str">
        <f t="shared" si="65"/>
        <v>红2</v>
      </c>
      <c r="AG227" s="19">
        <f>IFERROR(_xlfn.XLOOKUP(C227+1,[2]基因升级!$E$141:$E$500,[2]基因升级!$D$141:$D$500)-1,AG226)</f>
        <v>74</v>
      </c>
      <c r="AH227" s="19">
        <v>6</v>
      </c>
      <c r="AI227" s="19">
        <f t="shared" si="66"/>
        <v>8.01559450356522</v>
      </c>
      <c r="AJ227" s="19">
        <f t="shared" si="78"/>
        <v>0</v>
      </c>
      <c r="AK227" s="269">
        <v>1.72</v>
      </c>
      <c r="AL227" s="287">
        <f t="shared" si="87"/>
        <v>5.8</v>
      </c>
      <c r="AQ227" s="19">
        <f t="shared" si="67"/>
        <v>1.48055965437925</v>
      </c>
      <c r="AR227" s="19">
        <f t="shared" si="68"/>
        <v>1</v>
      </c>
      <c r="AS227" s="19">
        <f t="shared" si="69"/>
        <v>1</v>
      </c>
      <c r="AT227" s="19">
        <f t="shared" si="70"/>
        <v>1</v>
      </c>
      <c r="AU227" s="19">
        <f t="shared" si="71"/>
        <v>1</v>
      </c>
      <c r="AV227" s="232">
        <f t="shared" si="50"/>
        <v>0.04</v>
      </c>
      <c r="AW227" s="232">
        <f t="shared" si="51"/>
        <v>0</v>
      </c>
      <c r="AX227" s="232">
        <f t="shared" si="52"/>
        <v>0</v>
      </c>
      <c r="AY227" s="232">
        <f t="shared" si="53"/>
        <v>0</v>
      </c>
      <c r="AZ227" s="232">
        <f t="shared" si="54"/>
        <v>0</v>
      </c>
    </row>
    <row r="228" spans="1:52">
      <c r="A228" s="279">
        <f ca="1">SUM($N$125:N228)</f>
        <v>28.1037004045444</v>
      </c>
      <c r="C228" s="19">
        <v>105</v>
      </c>
      <c r="D228" s="86">
        <f ca="1" t="shared" si="79"/>
        <v>127.718265298413</v>
      </c>
      <c r="E228" s="251">
        <f ca="1" t="shared" si="55"/>
        <v>0.510243935274042</v>
      </c>
      <c r="F228" s="269">
        <f ca="1" t="shared" si="72"/>
        <v>171.620939512841</v>
      </c>
      <c r="G228" s="283">
        <f ca="1" t="shared" si="73"/>
        <v>87.5685435524601</v>
      </c>
      <c r="H228" s="279">
        <f ca="1" t="shared" si="74"/>
        <v>0.283318023065249</v>
      </c>
      <c r="I228" s="269">
        <f ca="1">SUM($J$125:J228)/SUM($H$125:H228)</f>
        <v>0.637692044771503</v>
      </c>
      <c r="J228" s="284">
        <f t="shared" si="80"/>
        <v>0.177367200216821</v>
      </c>
      <c r="K228" s="19">
        <f t="shared" si="82"/>
        <v>11400</v>
      </c>
      <c r="L228" s="269">
        <f t="shared" si="75"/>
        <v>1.56999999999999</v>
      </c>
      <c r="M228" s="226">
        <f ca="1" t="shared" si="76"/>
        <v>9.23999999999999</v>
      </c>
      <c r="N228" s="280">
        <f ca="1" t="shared" si="81"/>
        <v>0.105950822848421</v>
      </c>
      <c r="O228" s="226">
        <f t="shared" si="86"/>
        <v>3.3</v>
      </c>
      <c r="P228" s="19">
        <f ca="1" t="shared" si="49"/>
        <v>19</v>
      </c>
      <c r="Q228" s="226">
        <f ca="1" t="shared" si="85"/>
        <v>2.8</v>
      </c>
      <c r="R228" s="269">
        <f ca="1" t="shared" si="56"/>
        <v>0.406140195295694</v>
      </c>
      <c r="S228" s="266">
        <f ca="1" t="shared" si="57"/>
        <v>38.154793828787</v>
      </c>
      <c r="T228" s="226">
        <f ca="1">(1+OFFSET('玩法产出(新)'!$C$18,MATCH(X228,'玩法产出(新)'!$B$19:$B$25,0),1)*(1-V228)+OFFSET('玩法产出(新)'!$C$18,1+MATCH(X228,'玩法产出(新)'!$B$19:$B$25,0),1)*(V228))^AA228*(1+OFFSET('玩法产出(新)'!$C$18,MATCH(X228,'玩法产出(新)'!$B$19:$B$25,0),3)*(1-V228)+OFFSET('玩法产出(新)'!$C$18,1+MATCH(X228,'玩法产出(新)'!$B$19:$B$25,0),3)*(V228))^AB228*(1+OFFSET('玩法产出(新)'!$C$18,MATCH(X228,'玩法产出(新)'!$B$19:$B$25,0),4)*(1-V228)+OFFSET('玩法产出(新)'!$C$18,1+MATCH(X228,'玩法产出(新)'!$B$19:$B$25,0),4)*(V228))^AC228*(1+OFFSET('玩法产出(新)'!$C$18,MATCH(X228,'玩法产出(新)'!$B$19:$B$25,0),5)*(1+V228)+OFFSET('玩法产出(新)'!$C$18,1+MATCH(X228,'玩法产出(新)'!$B$19:$B$25,5),1)*(V228))^AD228*(1+OFFSET('玩法产出(新)'!$C$18,MATCH(X228,'玩法产出(新)'!$B$19:$B$25,0),6)*(1+V228)+OFFSET('玩法产出(新)'!$C$18,1+MATCH(X228,'玩法产出(新)'!$B$19:$B$25,0),6)*(V228))^AE228</f>
        <v>13.216972290286</v>
      </c>
      <c r="U228" s="226">
        <f ca="1" t="shared" si="77"/>
        <v>0.2269259122088</v>
      </c>
      <c r="V228" s="226">
        <f ca="1">COUNTIF($X$124:$X228,X228)/(COUNTIF($X$124:$X$723,X228)+1)</f>
        <v>0.876288659793814</v>
      </c>
      <c r="W228" s="19">
        <v>30</v>
      </c>
      <c r="X228" s="19" t="str">
        <f ca="1" t="shared" si="58"/>
        <v>紫</v>
      </c>
      <c r="Y228" s="19">
        <f t="shared" si="83"/>
        <v>11660</v>
      </c>
      <c r="Z228" s="19">
        <f ca="1" t="shared" si="59"/>
        <v>1.8680412371134</v>
      </c>
      <c r="AA228" s="282">
        <f ca="1" t="shared" si="60"/>
        <v>17.900640625</v>
      </c>
      <c r="AB228" s="282">
        <f ca="1" t="shared" si="61"/>
        <v>9.0546875</v>
      </c>
      <c r="AC228" s="282">
        <f ca="1" t="shared" si="62"/>
        <v>2.31975</v>
      </c>
      <c r="AD228" s="282">
        <f ca="1" t="shared" si="63"/>
        <v>0.5799375</v>
      </c>
      <c r="AE228" s="282">
        <f ca="1" t="shared" si="64"/>
        <v>0.144984375</v>
      </c>
      <c r="AF228" s="19" t="str">
        <f t="shared" si="65"/>
        <v>红2</v>
      </c>
      <c r="AG228" s="19">
        <f>IFERROR(_xlfn.XLOOKUP(C228+1,[2]基因升级!$E$141:$E$500,[2]基因升级!$D$141:$D$500)-1,AG227)</f>
        <v>74</v>
      </c>
      <c r="AH228" s="19">
        <v>6</v>
      </c>
      <c r="AI228" s="19">
        <f t="shared" si="66"/>
        <v>8.01559450356522</v>
      </c>
      <c r="AJ228" s="19">
        <f t="shared" si="78"/>
        <v>0</v>
      </c>
      <c r="AK228" s="269">
        <v>1.72</v>
      </c>
      <c r="AL228" s="287">
        <f t="shared" si="87"/>
        <v>5.84</v>
      </c>
      <c r="AQ228" s="19">
        <f t="shared" si="67"/>
        <v>1.48457198791959</v>
      </c>
      <c r="AR228" s="19">
        <f t="shared" si="68"/>
        <v>1</v>
      </c>
      <c r="AS228" s="19">
        <f t="shared" si="69"/>
        <v>1</v>
      </c>
      <c r="AT228" s="19">
        <f t="shared" si="70"/>
        <v>1</v>
      </c>
      <c r="AU228" s="19">
        <f t="shared" si="71"/>
        <v>1</v>
      </c>
      <c r="AV228" s="232">
        <f t="shared" si="50"/>
        <v>0.04</v>
      </c>
      <c r="AW228" s="232">
        <f t="shared" si="51"/>
        <v>0</v>
      </c>
      <c r="AX228" s="232">
        <f t="shared" si="52"/>
        <v>0</v>
      </c>
      <c r="AY228" s="232">
        <f t="shared" si="53"/>
        <v>0</v>
      </c>
      <c r="AZ228" s="232">
        <f t="shared" si="54"/>
        <v>0</v>
      </c>
    </row>
    <row r="229" spans="1:52">
      <c r="A229" s="279">
        <f ca="1">SUM($N$125:N229)</f>
        <v>28.2088971226198</v>
      </c>
      <c r="C229" s="19">
        <v>106</v>
      </c>
      <c r="D229" s="86">
        <f ca="1" t="shared" si="79"/>
        <v>128.227615149265</v>
      </c>
      <c r="E229" s="251">
        <f ca="1" t="shared" si="55"/>
        <v>0.509349850852531</v>
      </c>
      <c r="F229" s="269">
        <f ca="1" t="shared" si="72"/>
        <v>172.474420272951</v>
      </c>
      <c r="G229" s="283">
        <f ca="1" t="shared" si="73"/>
        <v>87.8498202419045</v>
      </c>
      <c r="H229" s="279">
        <f ca="1" t="shared" si="74"/>
        <v>0.281276689444411</v>
      </c>
      <c r="I229" s="269">
        <f ca="1">SUM($J$125:J229)/SUM($H$125:H229)</f>
        <v>0.637649810430317</v>
      </c>
      <c r="J229" s="284">
        <f t="shared" si="80"/>
        <v>0.176079971368999</v>
      </c>
      <c r="K229" s="19">
        <f t="shared" si="82"/>
        <v>11500</v>
      </c>
      <c r="L229" s="269">
        <f t="shared" si="75"/>
        <v>1.57499999999999</v>
      </c>
      <c r="M229" s="226">
        <f ca="1" t="shared" si="76"/>
        <v>9.30599999999999</v>
      </c>
      <c r="N229" s="280">
        <f ca="1" t="shared" si="81"/>
        <v>0.105196718075419</v>
      </c>
      <c r="O229" s="226">
        <f t="shared" si="86"/>
        <v>3.3</v>
      </c>
      <c r="P229" s="19">
        <f ca="1" t="shared" si="49"/>
        <v>19.2</v>
      </c>
      <c r="Q229" s="226">
        <f ca="1" t="shared" si="85"/>
        <v>2.82</v>
      </c>
      <c r="R229" s="269">
        <f ca="1" t="shared" si="56"/>
        <v>0.408567928983147</v>
      </c>
      <c r="S229" s="266">
        <f ca="1" t="shared" si="57"/>
        <v>38.3828669901951</v>
      </c>
      <c r="T229" s="226">
        <f ca="1">(1+OFFSET('玩法产出(新)'!$C$18,MATCH(X229,'玩法产出(新)'!$B$19:$B$25,0),1)*(1-V229)+OFFSET('玩法产出(新)'!$C$18,1+MATCH(X229,'玩法产出(新)'!$B$19:$B$25,0),1)*(V229))^AA229*(1+OFFSET('玩法产出(新)'!$C$18,MATCH(X229,'玩法产出(新)'!$B$19:$B$25,0),3)*(1-V229)+OFFSET('玩法产出(新)'!$C$18,1+MATCH(X229,'玩法产出(新)'!$B$19:$B$25,0),3)*(V229))^AB229*(1+OFFSET('玩法产出(新)'!$C$18,MATCH(X229,'玩法产出(新)'!$B$19:$B$25,0),4)*(1-V229)+OFFSET('玩法产出(新)'!$C$18,1+MATCH(X229,'玩法产出(新)'!$B$19:$B$25,0),4)*(V229))^AC229*(1+OFFSET('玩法产出(新)'!$C$18,MATCH(X229,'玩法产出(新)'!$B$19:$B$25,0),5)*(1+V229)+OFFSET('玩法产出(新)'!$C$18,1+MATCH(X229,'玩法产出(新)'!$B$19:$B$25,5),1)*(V229))^AD229*(1+OFFSET('玩法产出(新)'!$C$18,MATCH(X229,'玩法产出(新)'!$B$19:$B$25,0),6)*(1+V229)+OFFSET('玩法产出(新)'!$C$18,1+MATCH(X229,'玩法产出(新)'!$B$19:$B$25,0),6)*(V229))^AE229</f>
        <v>13.4225067353077</v>
      </c>
      <c r="U229" s="226">
        <f ca="1" t="shared" si="77"/>
        <v>0.228073161408114</v>
      </c>
      <c r="V229" s="226">
        <f ca="1">COUNTIF($X$124:$X229,X229)/(COUNTIF($X$124:$X$723,X229)+1)</f>
        <v>0.88659793814433</v>
      </c>
      <c r="W229" s="19">
        <v>30</v>
      </c>
      <c r="X229" s="19" t="str">
        <f ca="1" t="shared" si="58"/>
        <v>紫</v>
      </c>
      <c r="Y229" s="19">
        <f t="shared" si="83"/>
        <v>11760</v>
      </c>
      <c r="Z229" s="19">
        <f ca="1" t="shared" si="59"/>
        <v>1.87237113402062</v>
      </c>
      <c r="AA229" s="282">
        <f ca="1" t="shared" si="60"/>
        <v>17.8008791666667</v>
      </c>
      <c r="AB229" s="282">
        <f ca="1" t="shared" si="61"/>
        <v>9.12708333333333</v>
      </c>
      <c r="AC229" s="282">
        <f ca="1" t="shared" si="62"/>
        <v>2.3406</v>
      </c>
      <c r="AD229" s="282">
        <f ca="1" t="shared" si="63"/>
        <v>0.58515</v>
      </c>
      <c r="AE229" s="282">
        <f ca="1" t="shared" si="64"/>
        <v>0.1462875</v>
      </c>
      <c r="AF229" s="19" t="str">
        <f t="shared" si="65"/>
        <v>红2</v>
      </c>
      <c r="AG229" s="19">
        <f>IFERROR(_xlfn.XLOOKUP(C229+1,[2]基因升级!$E$141:$E$500,[2]基因升级!$D$141:$D$500)-1,AG228)</f>
        <v>74</v>
      </c>
      <c r="AH229" s="19">
        <v>6</v>
      </c>
      <c r="AI229" s="19">
        <f t="shared" si="66"/>
        <v>8.01559450356522</v>
      </c>
      <c r="AJ229" s="19">
        <f t="shared" si="78"/>
        <v>0</v>
      </c>
      <c r="AK229" s="269">
        <v>1.72</v>
      </c>
      <c r="AL229" s="287">
        <f t="shared" si="87"/>
        <v>5.88</v>
      </c>
      <c r="AQ229" s="19">
        <f t="shared" si="67"/>
        <v>1.48859519492955</v>
      </c>
      <c r="AR229" s="19">
        <f t="shared" si="68"/>
        <v>1</v>
      </c>
      <c r="AS229" s="19">
        <f t="shared" si="69"/>
        <v>1</v>
      </c>
      <c r="AT229" s="19">
        <f t="shared" si="70"/>
        <v>1</v>
      </c>
      <c r="AU229" s="19">
        <f t="shared" si="71"/>
        <v>1</v>
      </c>
      <c r="AV229" s="232">
        <f t="shared" si="50"/>
        <v>0.04</v>
      </c>
      <c r="AW229" s="232">
        <f t="shared" si="51"/>
        <v>0</v>
      </c>
      <c r="AX229" s="232">
        <f t="shared" si="52"/>
        <v>0</v>
      </c>
      <c r="AY229" s="232">
        <f t="shared" si="53"/>
        <v>0</v>
      </c>
      <c r="AZ229" s="232">
        <f t="shared" si="54"/>
        <v>0</v>
      </c>
    </row>
    <row r="230" spans="1:52">
      <c r="A230" s="279">
        <f ca="1">SUM($N$125:N230)</f>
        <v>28.313350394781</v>
      </c>
      <c r="C230" s="19">
        <v>107</v>
      </c>
      <c r="D230" s="86">
        <f ca="1" t="shared" si="79"/>
        <v>128.736100042436</v>
      </c>
      <c r="E230" s="251">
        <f ca="1" t="shared" si="55"/>
        <v>0.50848489317074</v>
      </c>
      <c r="F230" s="269">
        <f ca="1" t="shared" si="72"/>
        <v>173.317020986787</v>
      </c>
      <c r="G230" s="283">
        <f ca="1" t="shared" si="73"/>
        <v>88.1290869011373</v>
      </c>
      <c r="H230" s="279">
        <f ca="1" t="shared" si="74"/>
        <v>0.279266659232761</v>
      </c>
      <c r="I230" s="269">
        <f ca="1">SUM($J$125:J230)/SUM($H$125:H230)</f>
        <v>0.637608072514555</v>
      </c>
      <c r="J230" s="284">
        <f t="shared" si="80"/>
        <v>0.174813387071588</v>
      </c>
      <c r="K230" s="19">
        <f t="shared" si="82"/>
        <v>11600</v>
      </c>
      <c r="L230" s="269">
        <f t="shared" si="75"/>
        <v>1.57999999999999</v>
      </c>
      <c r="M230" s="226">
        <f ca="1" t="shared" si="76"/>
        <v>9.37199999999999</v>
      </c>
      <c r="N230" s="280">
        <f ca="1" t="shared" si="81"/>
        <v>0.104453272161173</v>
      </c>
      <c r="O230" s="226">
        <f t="shared" si="86"/>
        <v>3.3</v>
      </c>
      <c r="P230" s="19">
        <f ca="1" t="shared" si="49"/>
        <v>19.4</v>
      </c>
      <c r="Q230" s="226">
        <f ca="1" t="shared" si="85"/>
        <v>2.84</v>
      </c>
      <c r="R230" s="269">
        <f ca="1" t="shared" si="56"/>
        <v>0.411007851439934</v>
      </c>
      <c r="S230" s="266">
        <f ca="1" t="shared" si="57"/>
        <v>38.612085224133</v>
      </c>
      <c r="T230" s="226">
        <f ca="1">(1+OFFSET('玩法产出(新)'!$C$18,MATCH(X230,'玩法产出(新)'!$B$19:$B$25,0),1)*(1-V230)+OFFSET('玩法产出(新)'!$C$18,1+MATCH(X230,'玩法产出(新)'!$B$19:$B$25,0),1)*(V230))^AA230*(1+OFFSET('玩法产出(新)'!$C$18,MATCH(X230,'玩法产出(新)'!$B$19:$B$25,0),3)*(1-V230)+OFFSET('玩法产出(新)'!$C$18,1+MATCH(X230,'玩法产出(新)'!$B$19:$B$25,0),3)*(V230))^AB230*(1+OFFSET('玩法产出(新)'!$C$18,MATCH(X230,'玩法产出(新)'!$B$19:$B$25,0),4)*(1-V230)+OFFSET('玩法产出(新)'!$C$18,1+MATCH(X230,'玩法产出(新)'!$B$19:$B$25,0),4)*(V230))^AC230*(1+OFFSET('玩法产出(新)'!$C$18,MATCH(X230,'玩法产出(新)'!$B$19:$B$25,0),5)*(1+V230)+OFFSET('玩法产出(新)'!$C$18,1+MATCH(X230,'玩法产出(新)'!$B$19:$B$25,5),1)*(V230))^AD230*(1+OFFSET('玩法产出(新)'!$C$18,MATCH(X230,'玩法产出(新)'!$B$19:$B$25,0),6)*(1+V230)+OFFSET('玩法产出(新)'!$C$18,1+MATCH(X230,'玩法产出(新)'!$B$19:$B$25,0),6)*(V230))^AE230</f>
        <v>13.6322935128472</v>
      </c>
      <c r="U230" s="226">
        <f ca="1" t="shared" si="77"/>
        <v>0.229218233937979</v>
      </c>
      <c r="V230" s="226">
        <f ca="1">COUNTIF($X$124:$X230,X230)/(COUNTIF($X$124:$X$723,X230)+1)</f>
        <v>0.896907216494845</v>
      </c>
      <c r="W230" s="19">
        <v>30</v>
      </c>
      <c r="X230" s="19" t="str">
        <f ca="1" t="shared" si="58"/>
        <v>紫</v>
      </c>
      <c r="Y230" s="19">
        <f t="shared" si="83"/>
        <v>11860</v>
      </c>
      <c r="Z230" s="19">
        <f ca="1" t="shared" si="59"/>
        <v>1.87670103092783</v>
      </c>
      <c r="AA230" s="282">
        <f ca="1" t="shared" si="60"/>
        <v>17.7011177083333</v>
      </c>
      <c r="AB230" s="282">
        <f ca="1" t="shared" si="61"/>
        <v>9.19947916666667</v>
      </c>
      <c r="AC230" s="282">
        <f ca="1" t="shared" si="62"/>
        <v>2.36145</v>
      </c>
      <c r="AD230" s="282">
        <f ca="1" t="shared" si="63"/>
        <v>0.5903625</v>
      </c>
      <c r="AE230" s="282">
        <f ca="1" t="shared" si="64"/>
        <v>0.147590625</v>
      </c>
      <c r="AF230" s="19" t="str">
        <f t="shared" si="65"/>
        <v>红2</v>
      </c>
      <c r="AG230" s="19">
        <f>IFERROR(_xlfn.XLOOKUP(C230+1,[2]基因升级!$E$141:$E$500,[2]基因升级!$D$141:$D$500)-1,AG229)</f>
        <v>74</v>
      </c>
      <c r="AH230" s="19">
        <v>6</v>
      </c>
      <c r="AI230" s="19">
        <f t="shared" si="66"/>
        <v>8.01559450356522</v>
      </c>
      <c r="AJ230" s="19">
        <f t="shared" si="78"/>
        <v>0</v>
      </c>
      <c r="AK230" s="269">
        <v>1.72</v>
      </c>
      <c r="AL230" s="287">
        <f t="shared" si="87"/>
        <v>5.92</v>
      </c>
      <c r="AQ230" s="19">
        <f t="shared" si="67"/>
        <v>1.49262930487638</v>
      </c>
      <c r="AR230" s="19">
        <f t="shared" si="68"/>
        <v>1</v>
      </c>
      <c r="AS230" s="19">
        <f t="shared" si="69"/>
        <v>1</v>
      </c>
      <c r="AT230" s="19">
        <f t="shared" si="70"/>
        <v>1</v>
      </c>
      <c r="AU230" s="19">
        <f t="shared" si="71"/>
        <v>1</v>
      </c>
      <c r="AV230" s="232">
        <f t="shared" si="50"/>
        <v>0.04</v>
      </c>
      <c r="AW230" s="232">
        <f t="shared" si="51"/>
        <v>0</v>
      </c>
      <c r="AX230" s="232">
        <f t="shared" si="52"/>
        <v>0</v>
      </c>
      <c r="AY230" s="232">
        <f t="shared" si="53"/>
        <v>0</v>
      </c>
      <c r="AZ230" s="232">
        <f t="shared" si="54"/>
        <v>0</v>
      </c>
    </row>
    <row r="231" spans="1:52">
      <c r="A231" s="279">
        <f ca="1">SUM($N$125:N231)</f>
        <v>28.4170706554859</v>
      </c>
      <c r="C231" s="19">
        <v>108</v>
      </c>
      <c r="D231" s="86">
        <f ca="1" t="shared" si="79"/>
        <v>129.24374837218</v>
      </c>
      <c r="E231" s="251">
        <f ca="1" t="shared" si="55"/>
        <v>0.507648329744163</v>
      </c>
      <c r="F231" s="269">
        <f ca="1" t="shared" si="72"/>
        <v>174.148852489186</v>
      </c>
      <c r="G231" s="283">
        <f ca="1" t="shared" si="73"/>
        <v>88.4063740929982</v>
      </c>
      <c r="H231" s="279">
        <f ca="1" t="shared" si="74"/>
        <v>0.277287191860893</v>
      </c>
      <c r="I231" s="269">
        <f ca="1">SUM($J$125:J231)/SUM($H$125:H231)</f>
        <v>0.637566830704602</v>
      </c>
      <c r="J231" s="284">
        <f t="shared" si="80"/>
        <v>0.17356693115596</v>
      </c>
      <c r="K231" s="19">
        <f t="shared" si="82"/>
        <v>11700</v>
      </c>
      <c r="L231" s="269">
        <f t="shared" si="75"/>
        <v>1.58499999999999</v>
      </c>
      <c r="M231" s="226">
        <f ca="1" t="shared" si="76"/>
        <v>9.43799999999999</v>
      </c>
      <c r="N231" s="280">
        <f ca="1" t="shared" si="81"/>
        <v>0.103720260704918</v>
      </c>
      <c r="O231" s="226">
        <f t="shared" si="86"/>
        <v>3.3</v>
      </c>
      <c r="P231" s="19">
        <f ca="1" t="shared" si="49"/>
        <v>19.6</v>
      </c>
      <c r="Q231" s="226">
        <f ca="1" t="shared" si="85"/>
        <v>2.86</v>
      </c>
      <c r="R231" s="269">
        <f ca="1" t="shared" si="56"/>
        <v>0.413459939582469</v>
      </c>
      <c r="S231" s="266">
        <f ca="1" t="shared" si="57"/>
        <v>38.8424463620163</v>
      </c>
      <c r="T231" s="226">
        <f ca="1">(1+OFFSET('玩法产出(新)'!$C$18,MATCH(X231,'玩法产出(新)'!$B$19:$B$25,0),1)*(1-V231)+OFFSET('玩法产出(新)'!$C$18,1+MATCH(X231,'玩法产出(新)'!$B$19:$B$25,0),1)*(V231))^AA231*(1+OFFSET('玩法产出(新)'!$C$18,MATCH(X231,'玩法产出(新)'!$B$19:$B$25,0),3)*(1-V231)+OFFSET('玩法产出(新)'!$C$18,1+MATCH(X231,'玩法产出(新)'!$B$19:$B$25,0),3)*(V231))^AB231*(1+OFFSET('玩法产出(新)'!$C$18,MATCH(X231,'玩法产出(新)'!$B$19:$B$25,0),4)*(1-V231)+OFFSET('玩法产出(新)'!$C$18,1+MATCH(X231,'玩法产出(新)'!$B$19:$B$25,0),4)*(V231))^AC231*(1+OFFSET('玩法产出(新)'!$C$18,MATCH(X231,'玩法产出(新)'!$B$19:$B$25,0),5)*(1+V231)+OFFSET('玩法产出(新)'!$C$18,1+MATCH(X231,'玩法产出(新)'!$B$19:$B$25,5),1)*(V231))^AD231*(1+OFFSET('玩法产出(新)'!$C$18,MATCH(X231,'玩法产出(新)'!$B$19:$B$25,0),6)*(1+V231)+OFFSET('玩法产出(新)'!$C$18,1+MATCH(X231,'玩法产出(新)'!$B$19:$B$25,0),6)*(V231))^AE231</f>
        <v>13.8464298144086</v>
      </c>
      <c r="U231" s="226">
        <f ca="1" t="shared" si="77"/>
        <v>0.230361137883285</v>
      </c>
      <c r="V231" s="226">
        <f ca="1">COUNTIF($X$124:$X231,X231)/(COUNTIF($X$124:$X$723,X231)+1)</f>
        <v>0.907216494845361</v>
      </c>
      <c r="W231" s="19">
        <v>30</v>
      </c>
      <c r="X231" s="19" t="str">
        <f ca="1" t="shared" si="58"/>
        <v>紫</v>
      </c>
      <c r="Y231" s="19">
        <f t="shared" si="83"/>
        <v>11960</v>
      </c>
      <c r="Z231" s="19">
        <f ca="1" t="shared" si="59"/>
        <v>1.88103092783505</v>
      </c>
      <c r="AA231" s="282">
        <f ca="1" t="shared" si="60"/>
        <v>17.60135625</v>
      </c>
      <c r="AB231" s="282">
        <f ca="1" t="shared" si="61"/>
        <v>9.271875</v>
      </c>
      <c r="AC231" s="282">
        <f ca="1" t="shared" si="62"/>
        <v>2.3823</v>
      </c>
      <c r="AD231" s="282">
        <f ca="1" t="shared" si="63"/>
        <v>0.595575</v>
      </c>
      <c r="AE231" s="282">
        <f ca="1" t="shared" si="64"/>
        <v>0.14889375</v>
      </c>
      <c r="AF231" s="19" t="str">
        <f t="shared" si="65"/>
        <v>红2</v>
      </c>
      <c r="AG231" s="19">
        <f>IFERROR(_xlfn.XLOOKUP(C231+1,[2]基因升级!$E$141:$E$500,[2]基因升级!$D$141:$D$500)-1,AG230)</f>
        <v>74</v>
      </c>
      <c r="AH231" s="19">
        <v>6</v>
      </c>
      <c r="AI231" s="19">
        <f t="shared" si="66"/>
        <v>8.01559450356522</v>
      </c>
      <c r="AJ231" s="19">
        <f t="shared" si="78"/>
        <v>0</v>
      </c>
      <c r="AK231" s="269">
        <v>1.72</v>
      </c>
      <c r="AL231" s="287">
        <f t="shared" si="87"/>
        <v>5.96</v>
      </c>
      <c r="AQ231" s="19">
        <f t="shared" si="67"/>
        <v>1.49667434730714</v>
      </c>
      <c r="AR231" s="19">
        <f t="shared" si="68"/>
        <v>1</v>
      </c>
      <c r="AS231" s="19">
        <f t="shared" si="69"/>
        <v>1</v>
      </c>
      <c r="AT231" s="19">
        <f t="shared" si="70"/>
        <v>1</v>
      </c>
      <c r="AU231" s="19">
        <f t="shared" si="71"/>
        <v>1</v>
      </c>
      <c r="AV231" s="232">
        <f t="shared" si="50"/>
        <v>0.04</v>
      </c>
      <c r="AW231" s="232">
        <f t="shared" si="51"/>
        <v>0</v>
      </c>
      <c r="AX231" s="232">
        <f t="shared" si="52"/>
        <v>0</v>
      </c>
      <c r="AY231" s="232">
        <f t="shared" si="53"/>
        <v>0</v>
      </c>
      <c r="AZ231" s="232">
        <f t="shared" si="54"/>
        <v>0</v>
      </c>
    </row>
    <row r="232" spans="1:52">
      <c r="A232" s="279">
        <f ca="1">SUM($N$125:N232)</f>
        <v>28.520068121047</v>
      </c>
      <c r="C232" s="19">
        <v>109</v>
      </c>
      <c r="D232" s="86">
        <f ca="1" t="shared" si="79"/>
        <v>129.750587823856</v>
      </c>
      <c r="E232" s="251">
        <f ca="1" t="shared" si="55"/>
        <v>0.506839451675734</v>
      </c>
      <c r="F232" s="269">
        <f ca="1" t="shared" si="72"/>
        <v>174.970025261823</v>
      </c>
      <c r="G232" s="283">
        <f ca="1" t="shared" si="73"/>
        <v>88.6817116633918</v>
      </c>
      <c r="H232" s="279">
        <f ca="1" t="shared" si="74"/>
        <v>0.275337570393646</v>
      </c>
      <c r="I232" s="269">
        <f ca="1">SUM($J$125:J232)/SUM($H$125:H232)</f>
        <v>0.63752608429442</v>
      </c>
      <c r="J232" s="284">
        <f t="shared" si="80"/>
        <v>0.172340104832536</v>
      </c>
      <c r="K232" s="19">
        <f t="shared" si="82"/>
        <v>11800</v>
      </c>
      <c r="L232" s="269">
        <f t="shared" si="75"/>
        <v>1.58999999999999</v>
      </c>
      <c r="M232" s="226">
        <f ca="1" t="shared" si="76"/>
        <v>9.50399999999999</v>
      </c>
      <c r="N232" s="280">
        <f ca="1" t="shared" si="81"/>
        <v>0.102997465561113</v>
      </c>
      <c r="O232" s="226">
        <f t="shared" si="86"/>
        <v>3.3</v>
      </c>
      <c r="P232" s="19">
        <f ca="1" t="shared" si="49"/>
        <v>19.8</v>
      </c>
      <c r="Q232" s="226">
        <f ca="1" t="shared" si="85"/>
        <v>2.88</v>
      </c>
      <c r="R232" s="269">
        <f ca="1" t="shared" si="56"/>
        <v>0.415924170412732</v>
      </c>
      <c r="S232" s="266">
        <f ca="1" t="shared" si="57"/>
        <v>39.0739482432984</v>
      </c>
      <c r="T232" s="226">
        <f ca="1">(1+OFFSET('玩法产出(新)'!$C$18,MATCH(X232,'玩法产出(新)'!$B$19:$B$25,0),1)*(1-V232)+OFFSET('玩法产出(新)'!$C$18,1+MATCH(X232,'玩法产出(新)'!$B$19:$B$25,0),1)*(V232))^AA232*(1+OFFSET('玩法产出(新)'!$C$18,MATCH(X232,'玩法产出(新)'!$B$19:$B$25,0),3)*(1-V232)+OFFSET('玩法产出(新)'!$C$18,1+MATCH(X232,'玩法产出(新)'!$B$19:$B$25,0),3)*(V232))^AB232*(1+OFFSET('玩法产出(新)'!$C$18,MATCH(X232,'玩法产出(新)'!$B$19:$B$25,0),4)*(1-V232)+OFFSET('玩法产出(新)'!$C$18,1+MATCH(X232,'玩法产出(新)'!$B$19:$B$25,0),4)*(V232))^AC232*(1+OFFSET('玩法产出(新)'!$C$18,MATCH(X232,'玩法产出(新)'!$B$19:$B$25,0),5)*(1+V232)+OFFSET('玩法产出(新)'!$C$18,1+MATCH(X232,'玩法产出(新)'!$B$19:$B$25,5),1)*(V232))^AD232*(1+OFFSET('玩法产出(新)'!$C$18,MATCH(X232,'玩法产出(新)'!$B$19:$B$25,0),6)*(1+V232)+OFFSET('玩法产出(新)'!$C$18,1+MATCH(X232,'玩法产出(新)'!$B$19:$B$25,0),6)*(V232))^AE232</f>
        <v>14.0650152849437</v>
      </c>
      <c r="U232" s="226">
        <f ca="1" t="shared" si="77"/>
        <v>0.231501881282085</v>
      </c>
      <c r="V232" s="226">
        <f ca="1">COUNTIF($X$124:$X232,X232)/(COUNTIF($X$124:$X$723,X232)+1)</f>
        <v>0.917525773195876</v>
      </c>
      <c r="W232" s="19">
        <v>30</v>
      </c>
      <c r="X232" s="19" t="str">
        <f ca="1" t="shared" si="58"/>
        <v>紫</v>
      </c>
      <c r="Y232" s="19">
        <f t="shared" si="83"/>
        <v>12060</v>
      </c>
      <c r="Z232" s="19">
        <f ca="1" t="shared" si="59"/>
        <v>1.88536082474227</v>
      </c>
      <c r="AA232" s="282">
        <f ca="1" t="shared" si="60"/>
        <v>17.5015947916667</v>
      </c>
      <c r="AB232" s="282">
        <f ca="1" t="shared" si="61"/>
        <v>9.34427083333333</v>
      </c>
      <c r="AC232" s="282">
        <f ca="1" t="shared" si="62"/>
        <v>2.40315</v>
      </c>
      <c r="AD232" s="282">
        <f ca="1" t="shared" si="63"/>
        <v>0.6007875</v>
      </c>
      <c r="AE232" s="282">
        <f ca="1" t="shared" si="64"/>
        <v>0.150196875</v>
      </c>
      <c r="AF232" s="19" t="str">
        <f t="shared" si="65"/>
        <v>红2</v>
      </c>
      <c r="AG232" s="19">
        <f>IFERROR(_xlfn.XLOOKUP(C232+1,[2]基因升级!$E$141:$E$500,[2]基因升级!$D$141:$D$500)-1,AG231)</f>
        <v>75</v>
      </c>
      <c r="AH232" s="19">
        <v>6</v>
      </c>
      <c r="AI232" s="19">
        <f t="shared" si="66"/>
        <v>8.01559450356522</v>
      </c>
      <c r="AJ232" s="19">
        <f t="shared" si="78"/>
        <v>0</v>
      </c>
      <c r="AK232" s="269">
        <v>1.72</v>
      </c>
      <c r="AL232" s="287">
        <f t="shared" si="87"/>
        <v>6</v>
      </c>
      <c r="AQ232" s="19">
        <f t="shared" si="67"/>
        <v>1.500730351849</v>
      </c>
      <c r="AR232" s="19">
        <f t="shared" si="68"/>
        <v>1</v>
      </c>
      <c r="AS232" s="19">
        <f t="shared" si="69"/>
        <v>1</v>
      </c>
      <c r="AT232" s="19">
        <f t="shared" si="70"/>
        <v>1</v>
      </c>
      <c r="AU232" s="19">
        <f t="shared" si="71"/>
        <v>1</v>
      </c>
      <c r="AV232" s="232">
        <f t="shared" si="50"/>
        <v>0.04</v>
      </c>
      <c r="AW232" s="232">
        <f t="shared" si="51"/>
        <v>0</v>
      </c>
      <c r="AX232" s="232">
        <f t="shared" si="52"/>
        <v>0</v>
      </c>
      <c r="AY232" s="232">
        <f t="shared" si="53"/>
        <v>0</v>
      </c>
      <c r="AZ232" s="232">
        <f t="shared" si="54"/>
        <v>0</v>
      </c>
    </row>
    <row r="233" spans="1:52">
      <c r="A233" s="279">
        <f ca="1">SUM($N$125:N233)</f>
        <v>28.62235279567</v>
      </c>
      <c r="C233" s="19">
        <v>110</v>
      </c>
      <c r="D233" s="86">
        <f ca="1" t="shared" si="79"/>
        <v>130.256645396565</v>
      </c>
      <c r="E233" s="251">
        <f ca="1" t="shared" si="55"/>
        <v>0.506057572709185</v>
      </c>
      <c r="F233" s="269">
        <f ca="1" t="shared" si="72"/>
        <v>175.780649398749</v>
      </c>
      <c r="G233" s="283">
        <f ca="1" t="shared" si="73"/>
        <v>88.9551287639753</v>
      </c>
      <c r="H233" s="279">
        <f ca="1" t="shared" si="74"/>
        <v>0.273417100583458</v>
      </c>
      <c r="I233" s="269">
        <f ca="1">SUM($J$125:J233)/SUM($H$125:H233)</f>
        <v>0.637485832222093</v>
      </c>
      <c r="J233" s="284">
        <f t="shared" si="80"/>
        <v>0.171132425960494</v>
      </c>
      <c r="K233" s="19">
        <f t="shared" si="82"/>
        <v>11900</v>
      </c>
      <c r="L233" s="269">
        <f t="shared" si="75"/>
        <v>1.59499999999999</v>
      </c>
      <c r="M233" s="226">
        <f ca="1" t="shared" si="76"/>
        <v>9.56999999999999</v>
      </c>
      <c r="N233" s="280">
        <f ca="1" t="shared" si="81"/>
        <v>0.102284674622972</v>
      </c>
      <c r="O233" s="226">
        <f t="shared" si="86"/>
        <v>3.3</v>
      </c>
      <c r="P233" s="19">
        <f ca="1" t="shared" si="49"/>
        <v>20</v>
      </c>
      <c r="Q233" s="226">
        <f ca="1" t="shared" si="85"/>
        <v>2.9</v>
      </c>
      <c r="R233" s="269">
        <f ca="1" t="shared" si="56"/>
        <v>0.418400521017765</v>
      </c>
      <c r="S233" s="266">
        <f ca="1" t="shared" si="57"/>
        <v>39.3065887154241</v>
      </c>
      <c r="T233" s="226">
        <f ca="1">(1+OFFSET('玩法产出(新)'!$C$18,MATCH(X233,'玩法产出(新)'!$B$19:$B$25,0),1)*(1-V233)+OFFSET('玩法产出(新)'!$C$18,1+MATCH(X233,'玩法产出(新)'!$B$19:$B$25,0),1)*(V233))^AA233*(1+OFFSET('玩法产出(新)'!$C$18,MATCH(X233,'玩法产出(新)'!$B$19:$B$25,0),3)*(1-V233)+OFFSET('玩法产出(新)'!$C$18,1+MATCH(X233,'玩法产出(新)'!$B$19:$B$25,0),3)*(V233))^AB233*(1+OFFSET('玩法产出(新)'!$C$18,MATCH(X233,'玩法产出(新)'!$B$19:$B$25,0),4)*(1-V233)+OFFSET('玩法产出(新)'!$C$18,1+MATCH(X233,'玩法产出(新)'!$B$19:$B$25,0),4)*(V233))^AC233*(1+OFFSET('玩法产出(新)'!$C$18,MATCH(X233,'玩法产出(新)'!$B$19:$B$25,0),5)*(1+V233)+OFFSET('玩法产出(新)'!$C$18,1+MATCH(X233,'玩法产出(新)'!$B$19:$B$25,5),1)*(V233))^AD233*(1+OFFSET('玩法产出(新)'!$C$18,MATCH(X233,'玩法产出(新)'!$B$19:$B$25,0),6)*(1+V233)+OFFSET('玩法产出(新)'!$C$18,1+MATCH(X233,'玩法产出(新)'!$B$19:$B$25,0),6)*(V233))^AE233</f>
        <v>14.2881520889619</v>
      </c>
      <c r="U233" s="226">
        <f ca="1" t="shared" si="77"/>
        <v>0.23264047212572</v>
      </c>
      <c r="V233" s="226">
        <f ca="1">COUNTIF($X$124:$X233,X233)/(COUNTIF($X$124:$X$723,X233)+1)</f>
        <v>0.927835051546392</v>
      </c>
      <c r="W233" s="19">
        <v>30</v>
      </c>
      <c r="X233" s="19" t="str">
        <f ca="1" t="shared" si="58"/>
        <v>紫</v>
      </c>
      <c r="Y233" s="19">
        <f t="shared" si="83"/>
        <v>12160</v>
      </c>
      <c r="Z233" s="19">
        <f ca="1" t="shared" si="59"/>
        <v>1.88969072164948</v>
      </c>
      <c r="AA233" s="282">
        <f ca="1" t="shared" si="60"/>
        <v>17.4018333333333</v>
      </c>
      <c r="AB233" s="282">
        <f ca="1" t="shared" si="61"/>
        <v>9.41666666666667</v>
      </c>
      <c r="AC233" s="282">
        <f ca="1" t="shared" si="62"/>
        <v>2.424</v>
      </c>
      <c r="AD233" s="282">
        <f ca="1" t="shared" si="63"/>
        <v>0.606</v>
      </c>
      <c r="AE233" s="282">
        <f ca="1" t="shared" si="64"/>
        <v>0.1515</v>
      </c>
      <c r="AF233" s="19" t="str">
        <f t="shared" si="65"/>
        <v>红2</v>
      </c>
      <c r="AG233" s="19">
        <f>IFERROR(_xlfn.XLOOKUP(C233+1,[2]基因升级!$E$141:$E$500,[2]基因升级!$D$141:$D$500)-1,AG232)</f>
        <v>75</v>
      </c>
      <c r="AH233" s="19">
        <v>6</v>
      </c>
      <c r="AI233" s="19">
        <f t="shared" si="66"/>
        <v>8.01559450356522</v>
      </c>
      <c r="AJ233" s="19">
        <f t="shared" si="78"/>
        <v>0</v>
      </c>
      <c r="AK233" s="269">
        <v>1.72</v>
      </c>
      <c r="AL233" s="287">
        <f t="shared" si="87"/>
        <v>6.04</v>
      </c>
      <c r="AQ233" s="19">
        <f t="shared" si="67"/>
        <v>1.5047973482094</v>
      </c>
      <c r="AR233" s="19">
        <f t="shared" si="68"/>
        <v>1</v>
      </c>
      <c r="AS233" s="19">
        <f t="shared" si="69"/>
        <v>1</v>
      </c>
      <c r="AT233" s="19">
        <f t="shared" si="70"/>
        <v>1</v>
      </c>
      <c r="AU233" s="19">
        <f t="shared" si="71"/>
        <v>1</v>
      </c>
      <c r="AV233" s="232">
        <f t="shared" si="50"/>
        <v>0.04</v>
      </c>
      <c r="AW233" s="232">
        <f t="shared" si="51"/>
        <v>0</v>
      </c>
      <c r="AX233" s="232">
        <f t="shared" si="52"/>
        <v>0</v>
      </c>
      <c r="AY233" s="232">
        <f t="shared" si="53"/>
        <v>0</v>
      </c>
      <c r="AZ233" s="232">
        <f t="shared" si="54"/>
        <v>0</v>
      </c>
    </row>
    <row r="234" spans="1:52">
      <c r="A234" s="279">
        <f ca="1">SUM($N$125:N234)</f>
        <v>28.7239344772849</v>
      </c>
      <c r="C234" s="19">
        <v>111</v>
      </c>
      <c r="D234" s="86">
        <f ca="1" t="shared" si="79"/>
        <v>130.761947424893</v>
      </c>
      <c r="E234" s="251">
        <f ca="1" t="shared" si="55"/>
        <v>0.505302028328324</v>
      </c>
      <c r="F234" s="269">
        <f ca="1" t="shared" si="72"/>
        <v>176.580834573592</v>
      </c>
      <c r="G234" s="283">
        <f ca="1" t="shared" si="73"/>
        <v>89.2266538739443</v>
      </c>
      <c r="H234" s="279">
        <f ca="1" t="shared" si="74"/>
        <v>0.271525109968991</v>
      </c>
      <c r="I234" s="269">
        <f ca="1">SUM($J$125:J234)/SUM($H$125:H234)</f>
        <v>0.637446073098242</v>
      </c>
      <c r="J234" s="284">
        <f t="shared" si="80"/>
        <v>0.169943428354088</v>
      </c>
      <c r="K234" s="19">
        <f t="shared" si="82"/>
        <v>12000</v>
      </c>
      <c r="L234" s="269">
        <f t="shared" si="75"/>
        <v>1.59999999999999</v>
      </c>
      <c r="M234" s="226">
        <f ca="1" t="shared" si="76"/>
        <v>9.63599999999999</v>
      </c>
      <c r="N234" s="280">
        <f ca="1" t="shared" si="81"/>
        <v>0.101581681614906</v>
      </c>
      <c r="O234" s="226">
        <f t="shared" si="86"/>
        <v>3.3</v>
      </c>
      <c r="P234" s="19">
        <f ca="1" t="shared" si="49"/>
        <v>20.2</v>
      </c>
      <c r="Q234" s="226">
        <f ca="1" t="shared" si="85"/>
        <v>2.92</v>
      </c>
      <c r="R234" s="269">
        <f ca="1" t="shared" si="56"/>
        <v>0.420888968569183</v>
      </c>
      <c r="S234" s="266">
        <f ca="1" t="shared" si="57"/>
        <v>39.5403656337835</v>
      </c>
      <c r="T234" s="226">
        <f ca="1">(1+OFFSET('玩法产出(新)'!$C$18,MATCH(X234,'玩法产出(新)'!$B$19:$B$25,0),1)*(1-V234)+OFFSET('玩法产出(新)'!$C$18,1+MATCH(X234,'玩法产出(新)'!$B$19:$B$25,0),1)*(V234))^AA234*(1+OFFSET('玩法产出(新)'!$C$18,MATCH(X234,'玩法产出(新)'!$B$19:$B$25,0),3)*(1-V234)+OFFSET('玩法产出(新)'!$C$18,1+MATCH(X234,'玩法产出(新)'!$B$19:$B$25,0),3)*(V234))^AB234*(1+OFFSET('玩法产出(新)'!$C$18,MATCH(X234,'玩法产出(新)'!$B$19:$B$25,0),4)*(1-V234)+OFFSET('玩法产出(新)'!$C$18,1+MATCH(X234,'玩法产出(新)'!$B$19:$B$25,0),4)*(V234))^AC234*(1+OFFSET('玩法产出(新)'!$C$18,MATCH(X234,'玩法产出(新)'!$B$19:$B$25,0),5)*(1+V234)+OFFSET('玩法产出(新)'!$C$18,1+MATCH(X234,'玩法产出(新)'!$B$19:$B$25,5),1)*(V234))^AD234*(1+OFFSET('玩法产出(新)'!$C$18,MATCH(X234,'玩法产出(新)'!$B$19:$B$25,0),6)*(1+V234)+OFFSET('玩法产出(新)'!$C$18,1+MATCH(X234,'玩法产出(新)'!$B$19:$B$25,0),6)*(V234))^AE234</f>
        <v>14.5159449785336</v>
      </c>
      <c r="U234" s="226">
        <f ca="1" t="shared" si="77"/>
        <v>0.23377691835933</v>
      </c>
      <c r="V234" s="226">
        <f ca="1">COUNTIF($X$124:$X234,X234)/(COUNTIF($X$124:$X$723,X234)+1)</f>
        <v>0.938144329896907</v>
      </c>
      <c r="W234" s="19">
        <v>30</v>
      </c>
      <c r="X234" s="19" t="str">
        <f ca="1" t="shared" si="58"/>
        <v>紫</v>
      </c>
      <c r="Y234" s="19">
        <f t="shared" si="83"/>
        <v>12260</v>
      </c>
      <c r="Z234" s="19">
        <f ca="1" t="shared" si="59"/>
        <v>1.8940206185567</v>
      </c>
      <c r="AA234" s="282">
        <f ca="1" t="shared" si="60"/>
        <v>17.302071875</v>
      </c>
      <c r="AB234" s="282">
        <f ca="1" t="shared" si="61"/>
        <v>9.4890625</v>
      </c>
      <c r="AC234" s="282">
        <f ca="1" t="shared" si="62"/>
        <v>2.44485</v>
      </c>
      <c r="AD234" s="282">
        <f ca="1" t="shared" si="63"/>
        <v>0.6112125</v>
      </c>
      <c r="AE234" s="282">
        <f ca="1" t="shared" si="64"/>
        <v>0.152803125</v>
      </c>
      <c r="AF234" s="19" t="str">
        <f t="shared" si="65"/>
        <v>红2</v>
      </c>
      <c r="AG234" s="19">
        <f>IFERROR(_xlfn.XLOOKUP(C234+1,[2]基因升级!$E$141:$E$500,[2]基因升级!$D$141:$D$500)-1,AG233)</f>
        <v>75</v>
      </c>
      <c r="AH234" s="19">
        <v>6</v>
      </c>
      <c r="AI234" s="19">
        <f t="shared" si="66"/>
        <v>8.01559450356522</v>
      </c>
      <c r="AJ234" s="19">
        <f t="shared" si="78"/>
        <v>0</v>
      </c>
      <c r="AK234" s="269">
        <v>1.72</v>
      </c>
      <c r="AL234" s="287">
        <f t="shared" si="87"/>
        <v>6.08</v>
      </c>
      <c r="AQ234" s="19">
        <f t="shared" si="67"/>
        <v>1.5088753661763</v>
      </c>
      <c r="AR234" s="19">
        <f t="shared" si="68"/>
        <v>1</v>
      </c>
      <c r="AS234" s="19">
        <f t="shared" si="69"/>
        <v>1</v>
      </c>
      <c r="AT234" s="19">
        <f t="shared" si="70"/>
        <v>1</v>
      </c>
      <c r="AU234" s="19">
        <f t="shared" si="71"/>
        <v>1</v>
      </c>
      <c r="AV234" s="232">
        <f t="shared" si="50"/>
        <v>0.04</v>
      </c>
      <c r="AW234" s="232">
        <f t="shared" si="51"/>
        <v>0</v>
      </c>
      <c r="AX234" s="232">
        <f t="shared" si="52"/>
        <v>0</v>
      </c>
      <c r="AY234" s="232">
        <f t="shared" si="53"/>
        <v>0</v>
      </c>
      <c r="AZ234" s="232">
        <f t="shared" si="54"/>
        <v>0</v>
      </c>
    </row>
    <row r="235" spans="1:52">
      <c r="A235" s="279">
        <f ca="1">SUM($N$125:N235)</f>
        <v>28.8248227631785</v>
      </c>
      <c r="C235" s="19">
        <v>112</v>
      </c>
      <c r="D235" s="86">
        <f ca="1" t="shared" si="79"/>
        <v>131.266519599792</v>
      </c>
      <c r="E235" s="251">
        <f ca="1" t="shared" si="55"/>
        <v>0.504572174899186</v>
      </c>
      <c r="F235" s="269">
        <f ca="1" t="shared" si="72"/>
        <v>177.370690008506</v>
      </c>
      <c r="G235" s="283">
        <f ca="1" t="shared" si="73"/>
        <v>89.4963148209613</v>
      </c>
      <c r="H235" s="279">
        <f ca="1" t="shared" si="74"/>
        <v>0.269660947017002</v>
      </c>
      <c r="I235" s="269">
        <f ca="1">SUM($J$125:J235)/SUM($H$125:H235)</f>
        <v>0.63740680523246</v>
      </c>
      <c r="J235" s="284">
        <f t="shared" si="80"/>
        <v>0.168772661123405</v>
      </c>
      <c r="K235" s="19">
        <f t="shared" si="82"/>
        <v>12100</v>
      </c>
      <c r="L235" s="269">
        <f t="shared" si="75"/>
        <v>1.60499999999999</v>
      </c>
      <c r="M235" s="226">
        <f ca="1" t="shared" si="76"/>
        <v>9.70199999999999</v>
      </c>
      <c r="N235" s="280">
        <f ca="1" t="shared" si="81"/>
        <v>0.100888285893578</v>
      </c>
      <c r="O235" s="226">
        <f t="shared" si="86"/>
        <v>3.3</v>
      </c>
      <c r="P235" s="19">
        <f ca="1" t="shared" si="49"/>
        <v>20.4</v>
      </c>
      <c r="Q235" s="226">
        <f ca="1" t="shared" si="85"/>
        <v>2.94</v>
      </c>
      <c r="R235" s="269">
        <f ca="1" t="shared" si="56"/>
        <v>0.423389490322684</v>
      </c>
      <c r="S235" s="266">
        <f ca="1" t="shared" si="57"/>
        <v>39.7752768616657</v>
      </c>
      <c r="T235" s="226">
        <f ca="1">(1+OFFSET('玩法产出(新)'!$C$18,MATCH(X235,'玩法产出(新)'!$B$19:$B$25,0),1)*(1-V235)+OFFSET('玩法产出(新)'!$C$18,1+MATCH(X235,'玩法产出(新)'!$B$19:$B$25,0),1)*(V235))^AA235*(1+OFFSET('玩法产出(新)'!$C$18,MATCH(X235,'玩法产出(新)'!$B$19:$B$25,0),3)*(1-V235)+OFFSET('玩法产出(新)'!$C$18,1+MATCH(X235,'玩法产出(新)'!$B$19:$B$25,0),3)*(V235))^AB235*(1+OFFSET('玩法产出(新)'!$C$18,MATCH(X235,'玩法产出(新)'!$B$19:$B$25,0),4)*(1-V235)+OFFSET('玩法产出(新)'!$C$18,1+MATCH(X235,'玩法产出(新)'!$B$19:$B$25,0),4)*(V235))^AC235*(1+OFFSET('玩法产出(新)'!$C$18,MATCH(X235,'玩法产出(新)'!$B$19:$B$25,0),5)*(1+V235)+OFFSET('玩法产出(新)'!$C$18,1+MATCH(X235,'玩法产出(新)'!$B$19:$B$25,5),1)*(V235))^AD235*(1+OFFSET('玩法产出(新)'!$C$18,MATCH(X235,'玩法产出(新)'!$B$19:$B$25,0),6)*(1+V235)+OFFSET('玩法产出(新)'!$C$18,1+MATCH(X235,'玩法产出(新)'!$B$19:$B$25,0),6)*(V235))^AE235</f>
        <v>14.7485013632453</v>
      </c>
      <c r="U235" s="226">
        <f ca="1" t="shared" si="77"/>
        <v>0.234911227882203</v>
      </c>
      <c r="V235" s="226">
        <f ca="1">COUNTIF($X$124:$X235,X235)/(COUNTIF($X$124:$X$723,X235)+1)</f>
        <v>0.948453608247423</v>
      </c>
      <c r="W235" s="19">
        <v>30</v>
      </c>
      <c r="X235" s="19" t="str">
        <f ca="1" t="shared" si="58"/>
        <v>紫</v>
      </c>
      <c r="Y235" s="19">
        <f t="shared" si="83"/>
        <v>12360</v>
      </c>
      <c r="Z235" s="19">
        <f ca="1" t="shared" si="59"/>
        <v>1.89835051546392</v>
      </c>
      <c r="AA235" s="282">
        <f ca="1" t="shared" si="60"/>
        <v>17.2023104166667</v>
      </c>
      <c r="AB235" s="282">
        <f ca="1" t="shared" si="61"/>
        <v>9.56145833333333</v>
      </c>
      <c r="AC235" s="282">
        <f ca="1" t="shared" si="62"/>
        <v>2.4657</v>
      </c>
      <c r="AD235" s="282">
        <f ca="1" t="shared" si="63"/>
        <v>0.616425</v>
      </c>
      <c r="AE235" s="282">
        <f ca="1" t="shared" si="64"/>
        <v>0.15410625</v>
      </c>
      <c r="AF235" s="19" t="str">
        <f t="shared" si="65"/>
        <v>红2</v>
      </c>
      <c r="AG235" s="19">
        <f>IFERROR(_xlfn.XLOOKUP(C235+1,[2]基因升级!$E$141:$E$500,[2]基因升级!$D$141:$D$500)-1,AG234)</f>
        <v>75</v>
      </c>
      <c r="AH235" s="19">
        <v>6</v>
      </c>
      <c r="AI235" s="19">
        <f t="shared" si="66"/>
        <v>8.01559450356522</v>
      </c>
      <c r="AJ235" s="19">
        <f t="shared" si="78"/>
        <v>0</v>
      </c>
      <c r="AK235" s="269">
        <v>1.72</v>
      </c>
      <c r="AL235" s="287">
        <f t="shared" si="87"/>
        <v>6.12</v>
      </c>
      <c r="AQ235" s="19">
        <f t="shared" si="67"/>
        <v>1.51296443561838</v>
      </c>
      <c r="AR235" s="19">
        <f t="shared" si="68"/>
        <v>1</v>
      </c>
      <c r="AS235" s="19">
        <f t="shared" si="69"/>
        <v>1</v>
      </c>
      <c r="AT235" s="19">
        <f t="shared" si="70"/>
        <v>1</v>
      </c>
      <c r="AU235" s="19">
        <f t="shared" si="71"/>
        <v>1</v>
      </c>
      <c r="AV235" s="232">
        <f t="shared" si="50"/>
        <v>0.04</v>
      </c>
      <c r="AW235" s="232">
        <f t="shared" si="51"/>
        <v>0</v>
      </c>
      <c r="AX235" s="232">
        <f t="shared" si="52"/>
        <v>0</v>
      </c>
      <c r="AY235" s="232">
        <f t="shared" si="53"/>
        <v>0</v>
      </c>
      <c r="AZ235" s="232">
        <f t="shared" si="54"/>
        <v>0</v>
      </c>
    </row>
    <row r="236" spans="1:52">
      <c r="A236" s="279">
        <f ca="1">SUM($N$125:N236)</f>
        <v>28.9250270554354</v>
      </c>
      <c r="C236" s="19">
        <v>113</v>
      </c>
      <c r="D236" s="86">
        <f ca="1" t="shared" si="79"/>
        <v>131.770386988645</v>
      </c>
      <c r="E236" s="251">
        <f ca="1" t="shared" si="55"/>
        <v>0.503867388852737</v>
      </c>
      <c r="F236" s="269">
        <f ca="1" t="shared" si="72"/>
        <v>178.150324444793</v>
      </c>
      <c r="G236" s="283">
        <f ca="1" t="shared" si="73"/>
        <v>89.7641388012659</v>
      </c>
      <c r="H236" s="279">
        <f ca="1" t="shared" si="74"/>
        <v>0.267823980304598</v>
      </c>
      <c r="I236" s="269">
        <f ca="1">SUM($J$125:J236)/SUM($H$125:H236)</f>
        <v>0.63736802665791</v>
      </c>
      <c r="J236" s="284">
        <f t="shared" si="80"/>
        <v>0.167619688047665</v>
      </c>
      <c r="K236" s="19">
        <f t="shared" si="82"/>
        <v>12200</v>
      </c>
      <c r="L236" s="269">
        <f t="shared" si="75"/>
        <v>1.60999999999999</v>
      </c>
      <c r="M236" s="226">
        <f ca="1" t="shared" si="76"/>
        <v>9.76799999999999</v>
      </c>
      <c r="N236" s="280">
        <f ca="1" t="shared" si="81"/>
        <v>0.10020429225693</v>
      </c>
      <c r="O236" s="226">
        <f t="shared" si="86"/>
        <v>3.3</v>
      </c>
      <c r="P236" s="19">
        <f ca="1" t="shared" si="49"/>
        <v>20.6</v>
      </c>
      <c r="Q236" s="226">
        <f ca="1" t="shared" si="85"/>
        <v>2.96</v>
      </c>
      <c r="R236" s="269">
        <f ca="1" t="shared" si="56"/>
        <v>0.425902063617567</v>
      </c>
      <c r="S236" s="266">
        <f ca="1" t="shared" si="57"/>
        <v>40.0113202702138</v>
      </c>
      <c r="T236" s="226">
        <f ca="1">(1+OFFSET('玩法产出(新)'!$C$18,MATCH(X236,'玩法产出(新)'!$B$19:$B$25,0),1)*(1-V236)+OFFSET('玩法产出(新)'!$C$18,1+MATCH(X236,'玩法产出(新)'!$B$19:$B$25,0),1)*(V236))^AA236*(1+OFFSET('玩法产出(新)'!$C$18,MATCH(X236,'玩法产出(新)'!$B$19:$B$25,0),3)*(1-V236)+OFFSET('玩法产出(新)'!$C$18,1+MATCH(X236,'玩法产出(新)'!$B$19:$B$25,0),3)*(V236))^AB236*(1+OFFSET('玩法产出(新)'!$C$18,MATCH(X236,'玩法产出(新)'!$B$19:$B$25,0),4)*(1-V236)+OFFSET('玩法产出(新)'!$C$18,1+MATCH(X236,'玩法产出(新)'!$B$19:$B$25,0),4)*(V236))^AC236*(1+OFFSET('玩法产出(新)'!$C$18,MATCH(X236,'玩法产出(新)'!$B$19:$B$25,0),5)*(1+V236)+OFFSET('玩法产出(新)'!$C$18,1+MATCH(X236,'玩法产出(新)'!$B$19:$B$25,5),1)*(V236))^AD236*(1+OFFSET('玩法产出(新)'!$C$18,MATCH(X236,'玩法产出(新)'!$B$19:$B$25,0),6)*(1+V236)+OFFSET('玩法产出(新)'!$C$18,1+MATCH(X236,'玩法产出(新)'!$B$19:$B$25,0),6)*(V236))^AE236</f>
        <v>14.9859313821629</v>
      </c>
      <c r="U236" s="226">
        <f ca="1" t="shared" si="77"/>
        <v>0.236043408548143</v>
      </c>
      <c r="V236" s="226">
        <f ca="1">COUNTIF($X$124:$X236,X236)/(COUNTIF($X$124:$X$723,X236)+1)</f>
        <v>0.958762886597938</v>
      </c>
      <c r="W236" s="19">
        <v>30</v>
      </c>
      <c r="X236" s="19" t="str">
        <f ca="1" t="shared" si="58"/>
        <v>紫</v>
      </c>
      <c r="Y236" s="19">
        <f t="shared" si="83"/>
        <v>12460</v>
      </c>
      <c r="Z236" s="19">
        <f ca="1" t="shared" si="59"/>
        <v>1.90268041237113</v>
      </c>
      <c r="AA236" s="282">
        <f ca="1" t="shared" si="60"/>
        <v>17.1025489583333</v>
      </c>
      <c r="AB236" s="282">
        <f ca="1" t="shared" si="61"/>
        <v>9.63385416666667</v>
      </c>
      <c r="AC236" s="282">
        <f ca="1" t="shared" si="62"/>
        <v>2.48655</v>
      </c>
      <c r="AD236" s="282">
        <f ca="1" t="shared" si="63"/>
        <v>0.6216375</v>
      </c>
      <c r="AE236" s="282">
        <f ca="1" t="shared" si="64"/>
        <v>0.155409375</v>
      </c>
      <c r="AF236" s="19" t="str">
        <f t="shared" si="65"/>
        <v>红2</v>
      </c>
      <c r="AG236" s="19">
        <f>IFERROR(_xlfn.XLOOKUP(C236+1,[2]基因升级!$E$141:$E$500,[2]基因升级!$D$141:$D$500)-1,AG235)</f>
        <v>75</v>
      </c>
      <c r="AH236" s="19">
        <v>6</v>
      </c>
      <c r="AI236" s="19">
        <f t="shared" si="66"/>
        <v>8.01559450356522</v>
      </c>
      <c r="AJ236" s="19">
        <f t="shared" si="78"/>
        <v>0</v>
      </c>
      <c r="AK236" s="269">
        <v>1.72</v>
      </c>
      <c r="AL236" s="287">
        <f t="shared" si="87"/>
        <v>6.16</v>
      </c>
      <c r="AQ236" s="19">
        <f t="shared" si="67"/>
        <v>1.51706458648526</v>
      </c>
      <c r="AR236" s="19">
        <f t="shared" si="68"/>
        <v>1</v>
      </c>
      <c r="AS236" s="19">
        <f t="shared" si="69"/>
        <v>1</v>
      </c>
      <c r="AT236" s="19">
        <f t="shared" si="70"/>
        <v>1</v>
      </c>
      <c r="AU236" s="19">
        <f t="shared" si="71"/>
        <v>1</v>
      </c>
      <c r="AV236" s="232">
        <f t="shared" si="50"/>
        <v>0.04</v>
      </c>
      <c r="AW236" s="232">
        <f t="shared" si="51"/>
        <v>0</v>
      </c>
      <c r="AX236" s="232">
        <f t="shared" si="52"/>
        <v>0</v>
      </c>
      <c r="AY236" s="232">
        <f t="shared" si="53"/>
        <v>0</v>
      </c>
      <c r="AZ236" s="232">
        <f t="shared" si="54"/>
        <v>0</v>
      </c>
    </row>
    <row r="237" spans="1:52">
      <c r="A237" s="279">
        <f ca="1">SUM($N$125:N237)</f>
        <v>29.0245565661963</v>
      </c>
      <c r="C237" s="19">
        <v>114</v>
      </c>
      <c r="D237" s="86">
        <f ca="1" t="shared" si="79"/>
        <v>132.273574054551</v>
      </c>
      <c r="E237" s="251">
        <f ca="1" t="shared" si="55"/>
        <v>0.503187065905969</v>
      </c>
      <c r="F237" s="269">
        <f ca="1" t="shared" si="72"/>
        <v>178.919846115103</v>
      </c>
      <c r="G237" s="283">
        <f ca="1" t="shared" si="73"/>
        <v>90.030152399006</v>
      </c>
      <c r="H237" s="279">
        <f ca="1" t="shared" si="74"/>
        <v>0.266013597740113</v>
      </c>
      <c r="I237" s="269">
        <f ca="1">SUM($J$125:J237)/SUM($H$125:H237)</f>
        <v>0.637329735154211</v>
      </c>
      <c r="J237" s="284">
        <f t="shared" si="80"/>
        <v>0.166484086979203</v>
      </c>
      <c r="K237" s="19">
        <f t="shared" si="82"/>
        <v>12300</v>
      </c>
      <c r="L237" s="269">
        <f t="shared" si="75"/>
        <v>1.61499999999999</v>
      </c>
      <c r="M237" s="226">
        <f ca="1" t="shared" si="76"/>
        <v>9.83399999999999</v>
      </c>
      <c r="N237" s="280">
        <f ca="1" t="shared" si="81"/>
        <v>0.0995295107609238</v>
      </c>
      <c r="O237" s="226">
        <f t="shared" si="86"/>
        <v>3.3</v>
      </c>
      <c r="P237" s="19">
        <f ca="1" t="shared" si="49"/>
        <v>20.8</v>
      </c>
      <c r="Q237" s="226">
        <f ca="1" t="shared" si="85"/>
        <v>2.98</v>
      </c>
      <c r="R237" s="269">
        <f ca="1" t="shared" si="56"/>
        <v>0.428426665876253</v>
      </c>
      <c r="S237" s="266">
        <f ca="1" t="shared" si="57"/>
        <v>40.2484937383797</v>
      </c>
      <c r="T237" s="226">
        <f ca="1">(1+OFFSET('玩法产出(新)'!$C$18,MATCH(X237,'玩法产出(新)'!$B$19:$B$25,0),1)*(1-V237)+OFFSET('玩法产出(新)'!$C$18,1+MATCH(X237,'玩法产出(新)'!$B$19:$B$25,0),1)*(V237))^AA237*(1+OFFSET('玩法产出(新)'!$C$18,MATCH(X237,'玩法产出(新)'!$B$19:$B$25,0),3)*(1-V237)+OFFSET('玩法产出(新)'!$C$18,1+MATCH(X237,'玩法产出(新)'!$B$19:$B$25,0),3)*(V237))^AB237*(1+OFFSET('玩法产出(新)'!$C$18,MATCH(X237,'玩法产出(新)'!$B$19:$B$25,0),4)*(1-V237)+OFFSET('玩法产出(新)'!$C$18,1+MATCH(X237,'玩法产出(新)'!$B$19:$B$25,0),4)*(V237))^AC237*(1+OFFSET('玩法产出(新)'!$C$18,MATCH(X237,'玩法产出(新)'!$B$19:$B$25,0),5)*(1+V237)+OFFSET('玩法产出(新)'!$C$18,1+MATCH(X237,'玩法产出(新)'!$B$19:$B$25,5),1)*(V237))^AD237*(1+OFFSET('玩法产出(新)'!$C$18,MATCH(X237,'玩法产出(新)'!$B$19:$B$25,0),6)*(1+V237)+OFFSET('玩法产出(新)'!$C$18,1+MATCH(X237,'玩法产出(新)'!$B$19:$B$25,0),6)*(V237))^AE237</f>
        <v>15.2283479778665</v>
      </c>
      <c r="U237" s="226">
        <f ca="1" t="shared" si="77"/>
        <v>0.237173468165842</v>
      </c>
      <c r="V237" s="226">
        <f ca="1">COUNTIF($X$124:$X237,X237)/(COUNTIF($X$124:$X$723,X237)+1)</f>
        <v>0.969072164948454</v>
      </c>
      <c r="W237" s="19">
        <v>30</v>
      </c>
      <c r="X237" s="19" t="str">
        <f ca="1" t="shared" si="58"/>
        <v>紫</v>
      </c>
      <c r="Y237" s="19">
        <f t="shared" si="83"/>
        <v>12560</v>
      </c>
      <c r="Z237" s="19">
        <f ca="1" t="shared" si="59"/>
        <v>1.90701030927835</v>
      </c>
      <c r="AA237" s="282">
        <f ca="1" t="shared" si="60"/>
        <v>17.0027875</v>
      </c>
      <c r="AB237" s="282">
        <f ca="1" t="shared" si="61"/>
        <v>9.70625</v>
      </c>
      <c r="AC237" s="282">
        <f ca="1" t="shared" si="62"/>
        <v>2.5074</v>
      </c>
      <c r="AD237" s="282">
        <f ca="1" t="shared" si="63"/>
        <v>0.62685</v>
      </c>
      <c r="AE237" s="282">
        <f ca="1" t="shared" si="64"/>
        <v>0.1567125</v>
      </c>
      <c r="AF237" s="19" t="str">
        <f t="shared" si="65"/>
        <v>红2</v>
      </c>
      <c r="AG237" s="19">
        <f>IFERROR(_xlfn.XLOOKUP(C237+1,[2]基因升级!$E$141:$E$500,[2]基因升级!$D$141:$D$500)-1,AG236)</f>
        <v>76</v>
      </c>
      <c r="AH237" s="19">
        <v>6</v>
      </c>
      <c r="AI237" s="19">
        <f t="shared" si="66"/>
        <v>8.01559450356522</v>
      </c>
      <c r="AJ237" s="19">
        <f t="shared" si="78"/>
        <v>0</v>
      </c>
      <c r="AK237" s="269">
        <v>1.72</v>
      </c>
      <c r="AL237" s="287">
        <f t="shared" si="87"/>
        <v>6.2</v>
      </c>
      <c r="AQ237" s="19">
        <f t="shared" si="67"/>
        <v>1.52117584880772</v>
      </c>
      <c r="AR237" s="19">
        <f t="shared" si="68"/>
        <v>1</v>
      </c>
      <c r="AS237" s="19">
        <f t="shared" si="69"/>
        <v>1</v>
      </c>
      <c r="AT237" s="19">
        <f t="shared" si="70"/>
        <v>1</v>
      </c>
      <c r="AU237" s="19">
        <f t="shared" si="71"/>
        <v>1</v>
      </c>
      <c r="AV237" s="232">
        <f t="shared" si="50"/>
        <v>0.04</v>
      </c>
      <c r="AW237" s="232">
        <f t="shared" si="51"/>
        <v>0</v>
      </c>
      <c r="AX237" s="232">
        <f t="shared" si="52"/>
        <v>0</v>
      </c>
      <c r="AY237" s="232">
        <f t="shared" si="53"/>
        <v>0</v>
      </c>
      <c r="AZ237" s="232">
        <f t="shared" si="54"/>
        <v>0</v>
      </c>
    </row>
    <row r="238" spans="1:52">
      <c r="A238" s="279">
        <f ca="1">SUM($N$125:N238)</f>
        <v>29.1234203227401</v>
      </c>
      <c r="C238" s="19">
        <v>115</v>
      </c>
      <c r="D238" s="86">
        <f ca="1" t="shared" si="79"/>
        <v>132.77610467487</v>
      </c>
      <c r="E238" s="251">
        <f ca="1" t="shared" si="55"/>
        <v>0.502530620319241</v>
      </c>
      <c r="F238" s="269">
        <f ca="1" t="shared" si="72"/>
        <v>179.679362717171</v>
      </c>
      <c r="G238" s="283">
        <f ca="1" t="shared" si="73"/>
        <v>90.294381604826</v>
      </c>
      <c r="H238" s="279">
        <f ca="1" t="shared" si="74"/>
        <v>0.264229205819973</v>
      </c>
      <c r="I238" s="269">
        <f ca="1">SUM($J$125:J238)/SUM($H$125:H238)</f>
        <v>0.637291928268743</v>
      </c>
      <c r="J238" s="284">
        <f t="shared" si="80"/>
        <v>0.165365449276187</v>
      </c>
      <c r="K238" s="19">
        <f t="shared" si="82"/>
        <v>12400</v>
      </c>
      <c r="L238" s="269">
        <f t="shared" si="75"/>
        <v>1.61999999999999</v>
      </c>
      <c r="M238" s="226">
        <f ca="1" t="shared" si="76"/>
        <v>9.89999999999999</v>
      </c>
      <c r="N238" s="280">
        <f ca="1" t="shared" si="81"/>
        <v>0.0988637565437855</v>
      </c>
      <c r="O238" s="226">
        <f t="shared" si="86"/>
        <v>3.3</v>
      </c>
      <c r="P238" s="19">
        <f ca="1" t="shared" si="49"/>
        <v>21</v>
      </c>
      <c r="Q238" s="226">
        <f ca="1" t="shared" si="85"/>
        <v>3</v>
      </c>
      <c r="R238" s="269">
        <f ca="1" t="shared" si="56"/>
        <v>0.430963274603803</v>
      </c>
      <c r="S238" s="266">
        <f ca="1" t="shared" si="57"/>
        <v>40.4867951528789</v>
      </c>
      <c r="T238" s="226">
        <f ca="1">(1+OFFSET('玩法产出(新)'!$C$18,MATCH(X238,'玩法产出(新)'!$B$19:$B$25,0),1)*(1-V238)+OFFSET('玩法产出(新)'!$C$18,1+MATCH(X238,'玩法产出(新)'!$B$19:$B$25,0),1)*(V238))^AA238*(1+OFFSET('玩法产出(新)'!$C$18,MATCH(X238,'玩法产出(新)'!$B$19:$B$25,0),3)*(1-V238)+OFFSET('玩法产出(新)'!$C$18,1+MATCH(X238,'玩法产出(新)'!$B$19:$B$25,0),3)*(V238))^AB238*(1+OFFSET('玩法产出(新)'!$C$18,MATCH(X238,'玩法产出(新)'!$B$19:$B$25,0),4)*(1-V238)+OFFSET('玩法产出(新)'!$C$18,1+MATCH(X238,'玩法产出(新)'!$B$19:$B$25,0),4)*(V238))^AC238*(1+OFFSET('玩法产出(新)'!$C$18,MATCH(X238,'玩法产出(新)'!$B$19:$B$25,0),5)*(1+V238)+OFFSET('玩法产出(新)'!$C$18,1+MATCH(X238,'玩法产出(新)'!$B$19:$B$25,5),1)*(V238))^AD238*(1+OFFSET('玩法产出(新)'!$C$18,MATCH(X238,'玩法产出(新)'!$B$19:$B$25,0),6)*(1+V238)+OFFSET('玩法产出(新)'!$C$18,1+MATCH(X238,'玩法产出(新)'!$B$19:$B$25,0),6)*(V238))^AE238</f>
        <v>15.4758669726166</v>
      </c>
      <c r="U238" s="226">
        <f ca="1" t="shared" si="77"/>
        <v>0.238301414499269</v>
      </c>
      <c r="V238" s="226">
        <f ca="1">COUNTIF($X$124:$X238,X238)/(COUNTIF($X$124:$X$723,X238)+1)</f>
        <v>0.979381443298969</v>
      </c>
      <c r="W238" s="19">
        <v>30</v>
      </c>
      <c r="X238" s="19" t="str">
        <f ca="1" t="shared" si="58"/>
        <v>紫</v>
      </c>
      <c r="Y238" s="19">
        <f t="shared" si="83"/>
        <v>12660</v>
      </c>
      <c r="Z238" s="19">
        <f ca="1" t="shared" si="59"/>
        <v>1.91134020618557</v>
      </c>
      <c r="AA238" s="282">
        <f ca="1" t="shared" si="60"/>
        <v>16.9030260416667</v>
      </c>
      <c r="AB238" s="282">
        <f ca="1" t="shared" si="61"/>
        <v>9.77864583333333</v>
      </c>
      <c r="AC238" s="282">
        <f ca="1" t="shared" si="62"/>
        <v>2.52825</v>
      </c>
      <c r="AD238" s="282">
        <f ca="1" t="shared" si="63"/>
        <v>0.6320625</v>
      </c>
      <c r="AE238" s="282">
        <f ca="1" t="shared" si="64"/>
        <v>0.158015625</v>
      </c>
      <c r="AF238" s="19" t="str">
        <f t="shared" si="65"/>
        <v>红2</v>
      </c>
      <c r="AG238" s="19">
        <f>IFERROR(_xlfn.XLOOKUP(C238+1,[2]基因升级!$E$141:$E$500,[2]基因升级!$D$141:$D$500)-1,AG237)</f>
        <v>76</v>
      </c>
      <c r="AH238" s="19">
        <v>6</v>
      </c>
      <c r="AI238" s="19">
        <f t="shared" si="66"/>
        <v>8.01559450356522</v>
      </c>
      <c r="AJ238" s="19">
        <f t="shared" si="78"/>
        <v>0</v>
      </c>
      <c r="AK238" s="269">
        <v>1.72</v>
      </c>
      <c r="AL238" s="287">
        <f t="shared" si="87"/>
        <v>6.24</v>
      </c>
      <c r="AQ238" s="19">
        <f t="shared" si="67"/>
        <v>1.52529825269794</v>
      </c>
      <c r="AR238" s="19">
        <f t="shared" si="68"/>
        <v>1</v>
      </c>
      <c r="AS238" s="19">
        <f t="shared" si="69"/>
        <v>1</v>
      </c>
      <c r="AT238" s="19">
        <f t="shared" si="70"/>
        <v>1</v>
      </c>
      <c r="AU238" s="19">
        <f t="shared" si="71"/>
        <v>1</v>
      </c>
      <c r="AV238" s="232">
        <f t="shared" si="50"/>
        <v>0.04</v>
      </c>
      <c r="AW238" s="232">
        <f t="shared" si="51"/>
        <v>0</v>
      </c>
      <c r="AX238" s="232">
        <f t="shared" si="52"/>
        <v>0</v>
      </c>
      <c r="AY238" s="232">
        <f t="shared" si="53"/>
        <v>0</v>
      </c>
      <c r="AZ238" s="232">
        <f t="shared" si="54"/>
        <v>0</v>
      </c>
    </row>
    <row r="239" spans="1:52">
      <c r="A239" s="279">
        <f ca="1">SUM($N$125:N239)</f>
        <v>29.2216271723972</v>
      </c>
      <c r="C239" s="19">
        <v>116</v>
      </c>
      <c r="D239" s="86">
        <f ca="1" t="shared" si="79"/>
        <v>133.278002159058</v>
      </c>
      <c r="E239" s="251">
        <f ca="1" t="shared" si="55"/>
        <v>0.501897484187997</v>
      </c>
      <c r="F239" s="269">
        <f ca="1" t="shared" si="72"/>
        <v>180.428981389008</v>
      </c>
      <c r="G239" s="283">
        <f ca="1" t="shared" si="73"/>
        <v>90.556851833746</v>
      </c>
      <c r="H239" s="279">
        <f ca="1" t="shared" si="74"/>
        <v>0.262470228920009</v>
      </c>
      <c r="I239" s="269">
        <f ca="1">SUM($J$125:J239)/SUM($H$125:H239)</f>
        <v>0.637254603336472</v>
      </c>
      <c r="J239" s="284">
        <f t="shared" si="80"/>
        <v>0.164263379262941</v>
      </c>
      <c r="K239" s="19">
        <f t="shared" si="82"/>
        <v>12500</v>
      </c>
      <c r="L239" s="269">
        <f t="shared" si="75"/>
        <v>1.62499999999999</v>
      </c>
      <c r="M239" s="226">
        <f ca="1" t="shared" si="76"/>
        <v>9.96599999999999</v>
      </c>
      <c r="N239" s="280">
        <f ca="1" t="shared" si="81"/>
        <v>0.0982068496570712</v>
      </c>
      <c r="O239" s="226">
        <f t="shared" si="86"/>
        <v>3.3</v>
      </c>
      <c r="P239" s="19">
        <f ca="1" t="shared" si="49"/>
        <v>21.2</v>
      </c>
      <c r="Q239" s="226">
        <f ca="1" t="shared" si="85"/>
        <v>3.02</v>
      </c>
      <c r="R239" s="269">
        <f ca="1" t="shared" si="56"/>
        <v>0.433511867387451</v>
      </c>
      <c r="S239" s="266">
        <f ca="1" t="shared" si="57"/>
        <v>40.7262224081469</v>
      </c>
      <c r="T239" s="226">
        <f ca="1">(1+OFFSET('玩法产出(新)'!$C$18,MATCH(X239,'玩法产出(新)'!$B$19:$B$25,0),1)*(1-V239)+OFFSET('玩法产出(新)'!$C$18,1+MATCH(X239,'玩法产出(新)'!$B$19:$B$25,0),1)*(V239))^AA239*(1+OFFSET('玩法产出(新)'!$C$18,MATCH(X239,'玩法产出(新)'!$B$19:$B$25,0),3)*(1-V239)+OFFSET('玩法产出(新)'!$C$18,1+MATCH(X239,'玩法产出(新)'!$B$19:$B$25,0),3)*(V239))^AB239*(1+OFFSET('玩法产出(新)'!$C$18,MATCH(X239,'玩法产出(新)'!$B$19:$B$25,0),4)*(1-V239)+OFFSET('玩法产出(新)'!$C$18,1+MATCH(X239,'玩法产出(新)'!$B$19:$B$25,0),4)*(V239))^AC239*(1+OFFSET('玩法产出(新)'!$C$18,MATCH(X239,'玩法产出(新)'!$B$19:$B$25,0),5)*(1+V239)+OFFSET('玩法产出(新)'!$C$18,1+MATCH(X239,'玩法产出(新)'!$B$19:$B$25,5),1)*(V239))^AD239*(1+OFFSET('玩法产出(新)'!$C$18,MATCH(X239,'玩法产出(新)'!$B$19:$B$25,0),6)*(1+V239)+OFFSET('玩法产出(新)'!$C$18,1+MATCH(X239,'玩法产出(新)'!$B$19:$B$25,0),6)*(V239))^AE239</f>
        <v>15.7286071467175</v>
      </c>
      <c r="U239" s="226">
        <f ca="1" t="shared" si="77"/>
        <v>0.239427255267985</v>
      </c>
      <c r="V239" s="226">
        <f ca="1">COUNTIF($X$124:$X239,X239)/(COUNTIF($X$124:$X$723,X239)+1)</f>
        <v>0.989690721649485</v>
      </c>
      <c r="W239" s="19">
        <v>30</v>
      </c>
      <c r="X239" s="19" t="str">
        <f ca="1" t="shared" si="58"/>
        <v>紫</v>
      </c>
      <c r="Y239" s="19">
        <f t="shared" si="83"/>
        <v>12760</v>
      </c>
      <c r="Z239" s="19">
        <f ca="1" t="shared" si="59"/>
        <v>1.91567010309278</v>
      </c>
      <c r="AA239" s="282">
        <f ca="1" t="shared" si="60"/>
        <v>16.8032645833333</v>
      </c>
      <c r="AB239" s="282">
        <f ca="1" t="shared" si="61"/>
        <v>9.85104166666667</v>
      </c>
      <c r="AC239" s="282">
        <f ca="1" t="shared" si="62"/>
        <v>2.5491</v>
      </c>
      <c r="AD239" s="282">
        <f ca="1" t="shared" si="63"/>
        <v>0.637275</v>
      </c>
      <c r="AE239" s="282">
        <f ca="1" t="shared" si="64"/>
        <v>0.15931875</v>
      </c>
      <c r="AF239" s="19" t="str">
        <f t="shared" si="65"/>
        <v>红2</v>
      </c>
      <c r="AG239" s="19">
        <f>IFERROR(_xlfn.XLOOKUP(C239+1,[2]基因升级!$E$141:$E$500,[2]基因升级!$D$141:$D$500)-1,AG238)</f>
        <v>76</v>
      </c>
      <c r="AH239" s="19">
        <v>6</v>
      </c>
      <c r="AI239" s="19">
        <f t="shared" si="66"/>
        <v>8.01559450356522</v>
      </c>
      <c r="AJ239" s="19">
        <f t="shared" si="78"/>
        <v>0</v>
      </c>
      <c r="AK239" s="269">
        <v>1.72</v>
      </c>
      <c r="AL239" s="287">
        <f t="shared" si="87"/>
        <v>6.28</v>
      </c>
      <c r="AQ239" s="19">
        <f t="shared" si="67"/>
        <v>1.52943182834969</v>
      </c>
      <c r="AR239" s="19">
        <f t="shared" si="68"/>
        <v>1</v>
      </c>
      <c r="AS239" s="19">
        <f t="shared" si="69"/>
        <v>1</v>
      </c>
      <c r="AT239" s="19">
        <f t="shared" si="70"/>
        <v>1</v>
      </c>
      <c r="AU239" s="19">
        <f t="shared" si="71"/>
        <v>1</v>
      </c>
      <c r="AV239" s="232">
        <f t="shared" si="50"/>
        <v>0.04</v>
      </c>
      <c r="AW239" s="232">
        <f t="shared" si="51"/>
        <v>0</v>
      </c>
      <c r="AX239" s="232">
        <f t="shared" si="52"/>
        <v>0</v>
      </c>
      <c r="AY239" s="232">
        <f t="shared" si="53"/>
        <v>0</v>
      </c>
      <c r="AZ239" s="232">
        <f t="shared" si="54"/>
        <v>0</v>
      </c>
    </row>
    <row r="240" spans="1:52">
      <c r="A240" s="279">
        <f ca="1">SUM($N$125:N240)</f>
        <v>29.3191857873007</v>
      </c>
      <c r="C240" s="19">
        <v>117</v>
      </c>
      <c r="D240" s="86">
        <f ca="1" t="shared" si="79"/>
        <v>133.656295935045</v>
      </c>
      <c r="E240" s="251">
        <f ca="1" t="shared" si="55"/>
        <v>0.378293775986517</v>
      </c>
      <c r="F240" s="269">
        <f ca="1" t="shared" si="72"/>
        <v>240.071589085838</v>
      </c>
      <c r="G240" s="283">
        <f ca="1" t="shared" si="73"/>
        <v>90.8175879423652</v>
      </c>
      <c r="H240" s="279">
        <f ca="1" t="shared" si="74"/>
        <v>0.260736108619241</v>
      </c>
      <c r="I240" s="269">
        <f ca="1">SUM($J$125:J240)/SUM($H$125:H240)</f>
        <v>0.637217757498409</v>
      </c>
      <c r="J240" s="284">
        <f t="shared" si="80"/>
        <v>0.163177493715679</v>
      </c>
      <c r="K240" s="19">
        <f t="shared" si="82"/>
        <v>12600</v>
      </c>
      <c r="L240" s="269">
        <f t="shared" si="75"/>
        <v>1.62999999999999</v>
      </c>
      <c r="M240" s="226">
        <f ca="1" t="shared" si="76"/>
        <v>10.032</v>
      </c>
      <c r="N240" s="280">
        <f ca="1" t="shared" si="81"/>
        <v>0.0975586149035514</v>
      </c>
      <c r="O240" s="226">
        <f t="shared" si="86"/>
        <v>3.3</v>
      </c>
      <c r="P240" s="19">
        <f ca="1" t="shared" si="49"/>
        <v>21.4</v>
      </c>
      <c r="Q240" s="226">
        <f ca="1" t="shared" si="85"/>
        <v>3.04</v>
      </c>
      <c r="R240" s="269">
        <f ca="1" t="shared" si="56"/>
        <v>0.434763214575889</v>
      </c>
      <c r="S240" s="266">
        <f ca="1" t="shared" si="57"/>
        <v>40.8437800755142</v>
      </c>
      <c r="T240" s="226">
        <f ca="1">(1+OFFSET('玩法产出(新)'!$C$18,MATCH(X240,'玩法产出(新)'!$B$19:$B$25,0),1)*(1-V240)+OFFSET('玩法产出(新)'!$C$18,1+MATCH(X240,'玩法产出(新)'!$B$19:$B$25,0),1)*(V240))^AA240*(1+OFFSET('玩法产出(新)'!$C$18,MATCH(X240,'玩法产出(新)'!$B$19:$B$25,0),3)*(1-V240)+OFFSET('玩法产出(新)'!$C$18,1+MATCH(X240,'玩法产出(新)'!$B$19:$B$25,0),3)*(V240))^AB240*(1+OFFSET('玩法产出(新)'!$C$18,MATCH(X240,'玩法产出(新)'!$B$19:$B$25,0),4)*(1-V240)+OFFSET('玩法产出(新)'!$C$18,1+MATCH(X240,'玩法产出(新)'!$B$19:$B$25,0),4)*(V240))^AC240*(1+OFFSET('玩法产出(新)'!$C$18,MATCH(X240,'玩法产出(新)'!$B$19:$B$25,0),5)*(1+V240)+OFFSET('玩法产出(新)'!$C$18,1+MATCH(X240,'玩法产出(新)'!$B$19:$B$25,5),1)*(V240))^AD240*(1+OFFSET('玩法产出(新)'!$C$18,MATCH(X240,'玩法产出(新)'!$B$19:$B$25,0),6)*(1+V240)+OFFSET('玩法产出(新)'!$C$18,1+MATCH(X240,'玩法产出(新)'!$B$19:$B$25,0),6)*(V240))^AE240</f>
        <v>15.85420807015</v>
      </c>
      <c r="U240" s="226">
        <f ca="1" t="shared" si="77"/>
        <v>0.117557667367287</v>
      </c>
      <c r="V240" s="226">
        <v>0.03</v>
      </c>
      <c r="W240" s="19">
        <v>30</v>
      </c>
      <c r="X240" s="19" t="s">
        <v>326</v>
      </c>
      <c r="Y240" s="19">
        <f t="shared" si="83"/>
        <v>12860</v>
      </c>
      <c r="Z240" s="19">
        <f ca="1" t="shared" si="59"/>
        <v>1.9344</v>
      </c>
      <c r="AA240" s="282">
        <f ca="1" t="shared" si="60"/>
        <v>16.703503125</v>
      </c>
      <c r="AB240" s="282">
        <f ca="1" t="shared" si="61"/>
        <v>9.9234375</v>
      </c>
      <c r="AC240" s="282">
        <f ca="1" t="shared" si="62"/>
        <v>2.56995</v>
      </c>
      <c r="AD240" s="282">
        <f ca="1" t="shared" si="63"/>
        <v>0.6424875</v>
      </c>
      <c r="AE240" s="282">
        <f ca="1" t="shared" si="64"/>
        <v>0.160621875</v>
      </c>
      <c r="AF240" s="19" t="str">
        <f t="shared" si="65"/>
        <v>红2</v>
      </c>
      <c r="AG240" s="19">
        <f>IFERROR(_xlfn.XLOOKUP(C240+1,[2]基因升级!$E$141:$E$500,[2]基因升级!$D$141:$D$500)-1,AG239)</f>
        <v>76</v>
      </c>
      <c r="AH240" s="19">
        <v>6</v>
      </c>
      <c r="AI240" s="19">
        <f t="shared" si="66"/>
        <v>8.01559450356522</v>
      </c>
      <c r="AJ240" s="19">
        <f t="shared" si="78"/>
        <v>0</v>
      </c>
      <c r="AK240" s="269">
        <v>1.72</v>
      </c>
      <c r="AL240" s="287">
        <f t="shared" si="87"/>
        <v>6.32</v>
      </c>
      <c r="AQ240" s="19">
        <f t="shared" si="67"/>
        <v>1.53357660603858</v>
      </c>
      <c r="AR240" s="19">
        <f t="shared" si="68"/>
        <v>1</v>
      </c>
      <c r="AS240" s="19">
        <f t="shared" si="69"/>
        <v>1</v>
      </c>
      <c r="AT240" s="19">
        <f t="shared" si="70"/>
        <v>1</v>
      </c>
      <c r="AU240" s="19">
        <f t="shared" si="71"/>
        <v>1</v>
      </c>
      <c r="AV240" s="232">
        <f t="shared" si="50"/>
        <v>0.04</v>
      </c>
      <c r="AW240" s="232">
        <f t="shared" si="51"/>
        <v>0</v>
      </c>
      <c r="AX240" s="232">
        <f t="shared" si="52"/>
        <v>0</v>
      </c>
      <c r="AY240" s="232">
        <f t="shared" si="53"/>
        <v>0</v>
      </c>
      <c r="AZ240" s="232">
        <f t="shared" si="54"/>
        <v>0</v>
      </c>
    </row>
    <row r="241" spans="1:52">
      <c r="A241" s="279">
        <f ca="1">SUM($N$125:N241)</f>
        <v>29.4161046689822</v>
      </c>
      <c r="C241" s="19">
        <v>118</v>
      </c>
      <c r="D241" s="86">
        <f ca="1" t="shared" si="79"/>
        <v>134.023133461472</v>
      </c>
      <c r="E241" s="251">
        <f ca="1" t="shared" si="55"/>
        <v>0.366837526426607</v>
      </c>
      <c r="F241" s="269">
        <f ca="1" t="shared" si="72"/>
        <v>248.27507461574</v>
      </c>
      <c r="G241" s="283">
        <f ca="1" t="shared" si="73"/>
        <v>91.0766142454194</v>
      </c>
      <c r="H241" s="279">
        <f ca="1" t="shared" si="74"/>
        <v>0.259026303054227</v>
      </c>
      <c r="I241" s="269">
        <f ca="1">SUM($J$125:J241)/SUM($H$125:H241)</f>
        <v>0.637181387718788</v>
      </c>
      <c r="J241" s="284">
        <f t="shared" si="80"/>
        <v>0.162107421372795</v>
      </c>
      <c r="K241" s="19">
        <f t="shared" si="82"/>
        <v>12700</v>
      </c>
      <c r="L241" s="269">
        <f t="shared" si="75"/>
        <v>1.63499999999999</v>
      </c>
      <c r="M241" s="226">
        <f ca="1" t="shared" si="76"/>
        <v>10.098</v>
      </c>
      <c r="N241" s="280">
        <f ca="1" t="shared" si="81"/>
        <v>0.0969188816814359</v>
      </c>
      <c r="O241" s="226">
        <f t="shared" si="86"/>
        <v>3.3</v>
      </c>
      <c r="P241" s="19">
        <f ca="1" t="shared" si="49"/>
        <v>21.6</v>
      </c>
      <c r="Q241" s="226">
        <f ca="1" t="shared" si="85"/>
        <v>3.06</v>
      </c>
      <c r="R241" s="269">
        <f ca="1" t="shared" si="56"/>
        <v>0.43591081536</v>
      </c>
      <c r="S241" s="266">
        <f ca="1" t="shared" si="57"/>
        <v>40.9515912988866</v>
      </c>
      <c r="T241" s="226">
        <f ca="1">(1+OFFSET('玩法产出(新)'!$C$18,MATCH(X241,'玩法产出(新)'!$B$19:$B$25,0),1)*(1-V241)+OFFSET('玩法产出(新)'!$C$18,1+MATCH(X241,'玩法产出(新)'!$B$19:$B$25,0),1)*(V241))^AA241*(1+OFFSET('玩法产出(新)'!$C$18,MATCH(X241,'玩法产出(新)'!$B$19:$B$25,0),3)*(1-V241)+OFFSET('玩法产出(新)'!$C$18,1+MATCH(X241,'玩法产出(新)'!$B$19:$B$25,0),3)*(V241))^AB241*(1+OFFSET('玩法产出(新)'!$C$18,MATCH(X241,'玩法产出(新)'!$B$19:$B$25,0),4)*(1-V241)+OFFSET('玩法产出(新)'!$C$18,1+MATCH(X241,'玩法产出(新)'!$B$19:$B$25,0),4)*(V241))^AC241*(1+OFFSET('玩法产出(新)'!$C$18,MATCH(X241,'玩法产出(新)'!$B$19:$B$25,0),5)*(1+V241)+OFFSET('玩法产出(新)'!$C$18,1+MATCH(X241,'玩法产出(新)'!$B$19:$B$25,5),1)*(V241))^AD241*(1+OFFSET('玩法产出(新)'!$C$18,MATCH(X241,'玩法产出(新)'!$B$19:$B$25,0),6)*(1+V241)+OFFSET('玩法产出(新)'!$C$18,1+MATCH(X241,'玩法产出(新)'!$B$19:$B$25,0),6)*(V241))^AE241</f>
        <v>15.9702772081931</v>
      </c>
      <c r="U241" s="226">
        <f ca="1" t="shared" si="77"/>
        <v>0.107811223372376</v>
      </c>
      <c r="V241" s="226">
        <v>0.03</v>
      </c>
      <c r="W241" s="19">
        <v>30</v>
      </c>
      <c r="X241" s="19" t="s">
        <v>326</v>
      </c>
      <c r="Y241" s="19">
        <f t="shared" si="83"/>
        <v>12960</v>
      </c>
      <c r="Z241" s="19">
        <f ca="1" t="shared" si="59"/>
        <v>1.9344</v>
      </c>
      <c r="AA241" s="282">
        <f ca="1" t="shared" si="60"/>
        <v>16.6037416666667</v>
      </c>
      <c r="AB241" s="282">
        <f ca="1" t="shared" si="61"/>
        <v>9.99583333333333</v>
      </c>
      <c r="AC241" s="282">
        <f ca="1" t="shared" si="62"/>
        <v>2.5908</v>
      </c>
      <c r="AD241" s="282">
        <f ca="1" t="shared" si="63"/>
        <v>0.6477</v>
      </c>
      <c r="AE241" s="282">
        <f ca="1" t="shared" si="64"/>
        <v>0.161925</v>
      </c>
      <c r="AF241" s="19" t="str">
        <f t="shared" si="65"/>
        <v>红2</v>
      </c>
      <c r="AG241" s="19">
        <f>IFERROR(_xlfn.XLOOKUP(C241+1,[2]基因升级!$E$141:$E$500,[2]基因升级!$D$141:$D$500)-1,AG240)</f>
        <v>76</v>
      </c>
      <c r="AH241" s="19">
        <v>6</v>
      </c>
      <c r="AI241" s="19">
        <f t="shared" si="66"/>
        <v>8.01559450356522</v>
      </c>
      <c r="AJ241" s="19">
        <f t="shared" si="78"/>
        <v>0</v>
      </c>
      <c r="AK241" s="269">
        <v>1.72</v>
      </c>
      <c r="AL241" s="287">
        <f t="shared" si="87"/>
        <v>6.36</v>
      </c>
      <c r="AQ241" s="19">
        <f t="shared" si="67"/>
        <v>1.53773261612226</v>
      </c>
      <c r="AR241" s="19">
        <f t="shared" si="68"/>
        <v>1</v>
      </c>
      <c r="AS241" s="19">
        <f t="shared" si="69"/>
        <v>1</v>
      </c>
      <c r="AT241" s="19">
        <f t="shared" si="70"/>
        <v>1</v>
      </c>
      <c r="AU241" s="19">
        <f t="shared" si="71"/>
        <v>1</v>
      </c>
      <c r="AV241" s="232">
        <f t="shared" si="50"/>
        <v>0.04</v>
      </c>
      <c r="AW241" s="232">
        <f t="shared" si="51"/>
        <v>0</v>
      </c>
      <c r="AX241" s="232">
        <f t="shared" si="52"/>
        <v>0</v>
      </c>
      <c r="AY241" s="232">
        <f t="shared" si="53"/>
        <v>0</v>
      </c>
      <c r="AZ241" s="232">
        <f t="shared" si="54"/>
        <v>0</v>
      </c>
    </row>
    <row r="242" spans="1:52">
      <c r="A242" s="279">
        <f ca="1">SUM($N$125:N242)</f>
        <v>29.5123921528168</v>
      </c>
      <c r="C242" s="19">
        <v>119</v>
      </c>
      <c r="D242" s="86">
        <f ca="1" t="shared" si="79"/>
        <v>134.388284971147</v>
      </c>
      <c r="E242" s="251">
        <f ca="1" t="shared" si="55"/>
        <v>0.365151509675144</v>
      </c>
      <c r="F242" s="269">
        <f ca="1" t="shared" si="72"/>
        <v>250.126186286282</v>
      </c>
      <c r="G242" s="283">
        <f ca="1" t="shared" si="73"/>
        <v>91.3339545317222</v>
      </c>
      <c r="H242" s="279">
        <f ca="1" t="shared" si="74"/>
        <v>0.257340286302764</v>
      </c>
      <c r="I242" s="269">
        <f ca="1">SUM($J$125:J242)/SUM($H$125:H242)</f>
        <v>0.637145490801062</v>
      </c>
      <c r="J242" s="284">
        <f t="shared" si="80"/>
        <v>0.161052802468163</v>
      </c>
      <c r="K242" s="19">
        <f t="shared" si="82"/>
        <v>12800</v>
      </c>
      <c r="L242" s="269">
        <f t="shared" si="75"/>
        <v>1.63999999999999</v>
      </c>
      <c r="M242" s="226">
        <f ca="1" t="shared" si="76"/>
        <v>10.164</v>
      </c>
      <c r="N242" s="280">
        <f ca="1" t="shared" si="81"/>
        <v>0.0962874838346046</v>
      </c>
      <c r="O242" s="226">
        <f t="shared" si="86"/>
        <v>3.3</v>
      </c>
      <c r="P242" s="19">
        <f ca="1" t="shared" si="49"/>
        <v>21.8</v>
      </c>
      <c r="Q242" s="226">
        <f ca="1" t="shared" si="85"/>
        <v>3.08</v>
      </c>
      <c r="R242" s="269">
        <f ca="1" t="shared" si="56"/>
        <v>0.437058416144112</v>
      </c>
      <c r="S242" s="266">
        <f ca="1" t="shared" si="57"/>
        <v>41.0594025222589</v>
      </c>
      <c r="T242" s="226">
        <f ca="1">(1+OFFSET('玩法产出(新)'!$C$18,MATCH(X242,'玩法产出(新)'!$B$19:$B$25,0),1)*(1-V242)+OFFSET('玩法产出(新)'!$C$18,1+MATCH(X242,'玩法产出(新)'!$B$19:$B$25,0),1)*(V242))^AA242*(1+OFFSET('玩法产出(新)'!$C$18,MATCH(X242,'玩法产出(新)'!$B$19:$B$25,0),3)*(1-V242)+OFFSET('玩法产出(新)'!$C$18,1+MATCH(X242,'玩法产出(新)'!$B$19:$B$25,0),3)*(V242))^AB242*(1+OFFSET('玩法产出(新)'!$C$18,MATCH(X242,'玩法产出(新)'!$B$19:$B$25,0),4)*(1-V242)+OFFSET('玩法产出(新)'!$C$18,1+MATCH(X242,'玩法产出(新)'!$B$19:$B$25,0),4)*(V242))^AC242*(1+OFFSET('玩法产出(新)'!$C$18,MATCH(X242,'玩法产出(新)'!$B$19:$B$25,0),5)*(1+V242)+OFFSET('玩法产出(新)'!$C$18,1+MATCH(X242,'玩法产出(新)'!$B$19:$B$25,5),1)*(V242))^AD242*(1+OFFSET('玩法产出(新)'!$C$18,MATCH(X242,'玩法产出(新)'!$B$19:$B$25,0),6)*(1+V242)+OFFSET('玩法产出(新)'!$C$18,1+MATCH(X242,'玩法产出(新)'!$B$19:$B$25,0),6)*(V242))^AE242</f>
        <v>16.0871960919155</v>
      </c>
      <c r="U242" s="226">
        <f ca="1" t="shared" si="77"/>
        <v>0.107811223372376</v>
      </c>
      <c r="V242" s="226">
        <v>0.03</v>
      </c>
      <c r="W242" s="19">
        <v>30</v>
      </c>
      <c r="X242" s="19" t="s">
        <v>326</v>
      </c>
      <c r="Y242" s="19">
        <f t="shared" si="83"/>
        <v>13060</v>
      </c>
      <c r="Z242" s="19">
        <f ca="1" t="shared" si="59"/>
        <v>1.9344</v>
      </c>
      <c r="AA242" s="282">
        <f ca="1" t="shared" si="60"/>
        <v>16.5039802083333</v>
      </c>
      <c r="AB242" s="282">
        <f ca="1" t="shared" si="61"/>
        <v>10.0682291666667</v>
      </c>
      <c r="AC242" s="282">
        <f ca="1" t="shared" si="62"/>
        <v>2.61165</v>
      </c>
      <c r="AD242" s="282">
        <f ca="1" t="shared" si="63"/>
        <v>0.6529125</v>
      </c>
      <c r="AE242" s="282">
        <f ca="1" t="shared" si="64"/>
        <v>0.163228125</v>
      </c>
      <c r="AF242" s="19" t="str">
        <f t="shared" si="65"/>
        <v>红2</v>
      </c>
      <c r="AG242" s="19">
        <f>IFERROR(_xlfn.XLOOKUP(C242+1,[2]基因升级!$E$141:$E$500,[2]基因升级!$D$141:$D$500)-1,AG241)</f>
        <v>77</v>
      </c>
      <c r="AH242" s="19">
        <v>6</v>
      </c>
      <c r="AI242" s="19">
        <f t="shared" si="66"/>
        <v>8.01559450356522</v>
      </c>
      <c r="AJ242" s="19">
        <f t="shared" si="78"/>
        <v>0</v>
      </c>
      <c r="AK242" s="269">
        <v>1.72</v>
      </c>
      <c r="AL242" s="287">
        <f t="shared" si="87"/>
        <v>6.4</v>
      </c>
      <c r="AQ242" s="19">
        <f t="shared" si="67"/>
        <v>1.54189988904063</v>
      </c>
      <c r="AR242" s="19">
        <f t="shared" si="68"/>
        <v>1</v>
      </c>
      <c r="AS242" s="19">
        <f t="shared" si="69"/>
        <v>1</v>
      </c>
      <c r="AT242" s="19">
        <f t="shared" si="70"/>
        <v>1</v>
      </c>
      <c r="AU242" s="19">
        <f t="shared" si="71"/>
        <v>1</v>
      </c>
      <c r="AV242" s="232">
        <f t="shared" si="50"/>
        <v>0.04</v>
      </c>
      <c r="AW242" s="232">
        <f t="shared" si="51"/>
        <v>0</v>
      </c>
      <c r="AX242" s="232">
        <f t="shared" si="52"/>
        <v>0</v>
      </c>
      <c r="AY242" s="232">
        <f t="shared" si="53"/>
        <v>0</v>
      </c>
      <c r="AZ242" s="232">
        <f t="shared" si="54"/>
        <v>0</v>
      </c>
    </row>
    <row r="243" s="232" customFormat="1" spans="1:52">
      <c r="A243" s="279">
        <f ca="1">SUM($N$125:N243)</f>
        <v>32.6172645451194</v>
      </c>
      <c r="C243" s="232">
        <v>120</v>
      </c>
      <c r="D243" s="86">
        <f ca="1" t="shared" si="79"/>
        <v>137.760981875108</v>
      </c>
      <c r="E243" s="251">
        <f ca="1" t="shared" si="55"/>
        <v>3.37269690396105</v>
      </c>
      <c r="F243" s="269">
        <f ca="1" t="shared" si="72"/>
        <v>28.0484262019542</v>
      </c>
      <c r="G243" s="286">
        <f ca="1" t="shared" si="73"/>
        <v>94.5988402123109</v>
      </c>
      <c r="H243" s="287">
        <f ca="1" t="shared" si="74"/>
        <v>3.26488568058869</v>
      </c>
      <c r="I243" s="285">
        <f ca="1">SUM($J$125:J243)/SUM($H$125:H243)</f>
        <v>0.614447852201489</v>
      </c>
      <c r="J243" s="288">
        <f t="shared" si="80"/>
        <v>0.160013288286024</v>
      </c>
      <c r="K243" s="232">
        <f t="shared" si="82"/>
        <v>12900</v>
      </c>
      <c r="L243" s="285">
        <f t="shared" si="75"/>
        <v>1.64499999999999</v>
      </c>
      <c r="M243" s="289">
        <f ca="1" t="shared" si="76"/>
        <v>12.54</v>
      </c>
      <c r="N243" s="290">
        <f ca="1" t="shared" si="81"/>
        <v>3.10487239230266</v>
      </c>
      <c r="O243" s="289">
        <f t="shared" si="86"/>
        <v>6.6</v>
      </c>
      <c r="P243" s="232">
        <f ca="1" t="shared" si="49"/>
        <v>10</v>
      </c>
      <c r="Q243" s="289">
        <f ca="1" t="shared" si="85"/>
        <v>1.9</v>
      </c>
      <c r="R243" s="285">
        <f ca="1" t="shared" si="56"/>
        <v>0.438206016928223</v>
      </c>
      <c r="S243" s="292">
        <f ca="1" t="shared" si="57"/>
        <v>41.1672137456313</v>
      </c>
      <c r="T243" s="226">
        <f ca="1">(1+OFFSET('玩法产出(新)'!$C$18,MATCH(X243,'玩法产出(新)'!$B$19:$B$25,0),1)*(1-V243)+OFFSET('玩法产出(新)'!$C$18,1+MATCH(X243,'玩法产出(新)'!$B$19:$B$25,0),1)*(V243))^AA243*(1+OFFSET('玩法产出(新)'!$C$18,MATCH(X243,'玩法产出(新)'!$B$19:$B$25,0),3)*(1-V243)+OFFSET('玩法产出(新)'!$C$18,1+MATCH(X243,'玩法产出(新)'!$B$19:$B$25,0),3)*(V243))^AB243*(1+OFFSET('玩法产出(新)'!$C$18,MATCH(X243,'玩法产出(新)'!$B$19:$B$25,0),4)*(1-V243)+OFFSET('玩法产出(新)'!$C$18,1+MATCH(X243,'玩法产出(新)'!$B$19:$B$25,0),4)*(V243))^AC243*(1+OFFSET('玩法产出(新)'!$C$18,MATCH(X243,'玩法产出(新)'!$B$19:$B$25,0),5)*(1+V243)+OFFSET('玩法产出(新)'!$C$18,1+MATCH(X243,'玩法产出(新)'!$B$19:$B$25,5),1)*(V243))^AD243*(1+OFFSET('玩法产出(新)'!$C$18,MATCH(X243,'玩法产出(新)'!$B$19:$B$25,0),6)*(1+V243)+OFFSET('玩法产出(新)'!$C$18,1+MATCH(X243,'玩法产出(新)'!$B$19:$B$25,0),6)*(V243))^AE243</f>
        <v>16.204970942331</v>
      </c>
      <c r="U243" s="226">
        <f ca="1" t="shared" si="77"/>
        <v>0.107811223372366</v>
      </c>
      <c r="V243" s="226">
        <v>0.03</v>
      </c>
      <c r="W243" s="232">
        <v>30</v>
      </c>
      <c r="X243" s="19" t="s">
        <v>326</v>
      </c>
      <c r="Y243" s="232">
        <f t="shared" si="83"/>
        <v>13160</v>
      </c>
      <c r="Z243" s="19">
        <f ca="1" t="shared" si="59"/>
        <v>1.9344</v>
      </c>
      <c r="AA243" s="293">
        <f ca="1" t="shared" si="60"/>
        <v>16.40421875</v>
      </c>
      <c r="AB243" s="293">
        <f ca="1" t="shared" si="61"/>
        <v>10.140625</v>
      </c>
      <c r="AC243" s="293">
        <f ca="1" t="shared" si="62"/>
        <v>2.6325</v>
      </c>
      <c r="AD243" s="293">
        <f ca="1" t="shared" si="63"/>
        <v>0.658125</v>
      </c>
      <c r="AE243" s="293">
        <f ca="1" t="shared" si="64"/>
        <v>0.16453125</v>
      </c>
      <c r="AF243" s="232" t="str">
        <f t="shared" si="65"/>
        <v>粉1</v>
      </c>
      <c r="AG243" s="232">
        <f>IFERROR(_xlfn.XLOOKUP(C243+1,[2]基因升级!$E$141:$E$500,[2]基因升级!$D$141:$D$500)-1,AG242)</f>
        <v>77</v>
      </c>
      <c r="AH243" s="232">
        <v>6</v>
      </c>
      <c r="AI243" s="232">
        <f t="shared" si="66"/>
        <v>8.01559450356522</v>
      </c>
      <c r="AJ243" s="19">
        <f t="shared" si="78"/>
        <v>0</v>
      </c>
      <c r="AK243" s="285">
        <v>1.72</v>
      </c>
      <c r="AL243" s="287">
        <f t="shared" si="87"/>
        <v>6.44</v>
      </c>
      <c r="AQ243" s="19">
        <f t="shared" si="67"/>
        <v>1.54607845531612</v>
      </c>
      <c r="AR243" s="19">
        <f t="shared" si="68"/>
        <v>1</v>
      </c>
      <c r="AS243" s="19">
        <f t="shared" si="69"/>
        <v>1</v>
      </c>
      <c r="AT243" s="19">
        <f t="shared" si="70"/>
        <v>1</v>
      </c>
      <c r="AU243" s="19">
        <f t="shared" si="71"/>
        <v>1</v>
      </c>
      <c r="AV243" s="232">
        <f t="shared" si="50"/>
        <v>0.04</v>
      </c>
      <c r="AW243" s="232">
        <f t="shared" si="51"/>
        <v>0</v>
      </c>
      <c r="AX243" s="232">
        <f t="shared" si="52"/>
        <v>0</v>
      </c>
      <c r="AY243" s="232">
        <f t="shared" si="53"/>
        <v>0</v>
      </c>
      <c r="AZ243" s="232">
        <f t="shared" si="54"/>
        <v>0</v>
      </c>
    </row>
    <row r="244" spans="1:52">
      <c r="A244" s="269"/>
      <c r="C244" s="19">
        <v>121</v>
      </c>
      <c r="D244" s="86">
        <f ca="1" t="shared" si="79"/>
        <v>138.182548252259</v>
      </c>
      <c r="E244" s="251">
        <f ca="1" t="shared" si="55"/>
        <v>0.421566377151051</v>
      </c>
      <c r="F244" s="269">
        <f ca="1" t="shared" si="72"/>
        <v>225.142707080934</v>
      </c>
      <c r="G244" s="283">
        <f ca="1" t="shared" si="73"/>
        <v>94.9125953660896</v>
      </c>
      <c r="H244" s="279">
        <f ca="1" t="shared" si="74"/>
        <v>0.313755153778672</v>
      </c>
      <c r="I244" s="269">
        <f ca="1">SUM($J$125:J244)/SUM($H$125:H244)</f>
        <v>0.614049823623113</v>
      </c>
      <c r="J244" s="284">
        <f t="shared" si="80"/>
        <v>0.158988540736622</v>
      </c>
      <c r="K244" s="19">
        <f t="shared" si="82"/>
        <v>13000</v>
      </c>
      <c r="L244" s="269">
        <f t="shared" si="75"/>
        <v>1.64999999999999</v>
      </c>
      <c r="M244" s="226">
        <f ca="1" t="shared" si="76"/>
        <v>12.672</v>
      </c>
      <c r="N244" s="280">
        <f ca="1" t="shared" si="81"/>
        <v>0.15476661304205</v>
      </c>
      <c r="O244" s="226">
        <f t="shared" si="86"/>
        <v>6.6</v>
      </c>
      <c r="P244" s="19">
        <f ca="1" t="shared" si="49"/>
        <v>10.2</v>
      </c>
      <c r="Q244" s="226">
        <f ca="1" t="shared" si="85"/>
        <v>1.92</v>
      </c>
      <c r="R244" s="269">
        <f ca="1" t="shared" si="56"/>
        <v>0.439353617712334</v>
      </c>
      <c r="S244" s="266">
        <f ca="1" t="shared" si="57"/>
        <v>41.2750249690037</v>
      </c>
      <c r="T244" s="226">
        <f ca="1">(1+OFFSET('玩法产出(新)'!$C$18,MATCH(X244,'玩法产出(新)'!$B$19:$B$25,0),1)*(1-V244)+OFFSET('玩法产出(新)'!$C$18,1+MATCH(X244,'玩法产出(新)'!$B$19:$B$25,0),1)*(V244))^AA244*(1+OFFSET('玩法产出(新)'!$C$18,MATCH(X244,'玩法产出(新)'!$B$19:$B$25,0),3)*(1-V244)+OFFSET('玩法产出(新)'!$C$18,1+MATCH(X244,'玩法产出(新)'!$B$19:$B$25,0),3)*(V244))^AB244*(1+OFFSET('玩法产出(新)'!$C$18,MATCH(X244,'玩法产出(新)'!$B$19:$B$25,0),4)*(1-V244)+OFFSET('玩法产出(新)'!$C$18,1+MATCH(X244,'玩法产出(新)'!$B$19:$B$25,0),4)*(V244))^AC244*(1+OFFSET('玩法产出(新)'!$C$18,MATCH(X244,'玩法产出(新)'!$B$19:$B$25,0),5)*(1+V244)+OFFSET('玩法产出(新)'!$C$18,1+MATCH(X244,'玩法产出(新)'!$B$19:$B$25,5),1)*(V244))^AD244*(1+OFFSET('玩法产出(新)'!$C$18,MATCH(X244,'玩法产出(新)'!$B$19:$B$25,0),6)*(1+V244)+OFFSET('玩法产出(新)'!$C$18,1+MATCH(X244,'玩法产出(新)'!$B$19:$B$25,0),6)*(V244))^AE244</f>
        <v>16.3236080259979</v>
      </c>
      <c r="U244" s="226">
        <f ca="1" t="shared" si="77"/>
        <v>0.107811223372379</v>
      </c>
      <c r="V244" s="226">
        <v>0.03</v>
      </c>
      <c r="W244" s="19">
        <v>30</v>
      </c>
      <c r="X244" s="19" t="s">
        <v>326</v>
      </c>
      <c r="Y244" s="19">
        <f t="shared" si="83"/>
        <v>13260</v>
      </c>
      <c r="Z244" s="19">
        <f ca="1" t="shared" si="59"/>
        <v>1.9344</v>
      </c>
      <c r="AA244" s="282">
        <f ca="1" t="shared" si="60"/>
        <v>16.3044572916667</v>
      </c>
      <c r="AB244" s="282">
        <f ca="1" t="shared" si="61"/>
        <v>10.2130208333333</v>
      </c>
      <c r="AC244" s="282">
        <f ca="1" t="shared" si="62"/>
        <v>2.65335</v>
      </c>
      <c r="AD244" s="282">
        <f ca="1" t="shared" si="63"/>
        <v>0.6633375</v>
      </c>
      <c r="AE244" s="282">
        <f ca="1" t="shared" si="64"/>
        <v>0.165834375</v>
      </c>
      <c r="AF244" s="19" t="str">
        <f t="shared" si="65"/>
        <v>粉1</v>
      </c>
      <c r="AG244" s="19">
        <f>IFERROR(_xlfn.XLOOKUP(C244+1,[2]基因升级!$E$141:$E$500,[2]基因升级!$D$141:$D$500)-1,AG243)</f>
        <v>77</v>
      </c>
      <c r="AH244" s="19">
        <v>6</v>
      </c>
      <c r="AI244" s="19">
        <f t="shared" si="66"/>
        <v>8.01559450356522</v>
      </c>
      <c r="AJ244" s="19">
        <f t="shared" si="78"/>
        <v>0</v>
      </c>
      <c r="AK244" s="269">
        <v>1.72</v>
      </c>
      <c r="AL244" s="287">
        <f t="shared" si="87"/>
        <v>6.48</v>
      </c>
      <c r="AM244" s="286"/>
      <c r="AQ244" s="19">
        <f t="shared" si="67"/>
        <v>1.55026834555384</v>
      </c>
      <c r="AR244" s="19">
        <f t="shared" si="68"/>
        <v>1</v>
      </c>
      <c r="AS244" s="19">
        <f t="shared" si="69"/>
        <v>1</v>
      </c>
      <c r="AT244" s="19">
        <f t="shared" si="70"/>
        <v>1</v>
      </c>
      <c r="AU244" s="19">
        <f t="shared" si="71"/>
        <v>1</v>
      </c>
      <c r="AV244" s="232">
        <f t="shared" si="50"/>
        <v>0.04</v>
      </c>
      <c r="AW244" s="232">
        <f t="shared" si="51"/>
        <v>0</v>
      </c>
      <c r="AX244" s="232">
        <f t="shared" si="52"/>
        <v>0</v>
      </c>
      <c r="AY244" s="232">
        <f t="shared" si="53"/>
        <v>0</v>
      </c>
      <c r="AZ244" s="232">
        <f t="shared" si="54"/>
        <v>0</v>
      </c>
    </row>
    <row r="245" spans="1:52">
      <c r="A245" s="269"/>
      <c r="C245" s="19">
        <v>122</v>
      </c>
      <c r="D245" s="86">
        <f ca="1" t="shared" si="79"/>
        <v>138.60150049267</v>
      </c>
      <c r="E245" s="251">
        <f ca="1" t="shared" si="55"/>
        <v>0.418952240411762</v>
      </c>
      <c r="F245" s="269">
        <f ca="1" t="shared" si="72"/>
        <v>227.290194914674</v>
      </c>
      <c r="G245" s="283">
        <f ca="1" t="shared" si="73"/>
        <v>95.223736383129</v>
      </c>
      <c r="H245" s="279">
        <f ca="1" t="shared" si="74"/>
        <v>0.31114101703939</v>
      </c>
      <c r="I245" s="269">
        <f ca="1">SUM($J$125:J245)/SUM($H$125:H245)</f>
        <v>0.613661694023456</v>
      </c>
      <c r="J245" s="284">
        <f t="shared" si="80"/>
        <v>0.157978231951283</v>
      </c>
      <c r="K245" s="19">
        <f t="shared" si="82"/>
        <v>13100</v>
      </c>
      <c r="L245" s="269">
        <f t="shared" si="75"/>
        <v>1.65499999999999</v>
      </c>
      <c r="M245" s="226">
        <f ca="1" t="shared" si="76"/>
        <v>12.804</v>
      </c>
      <c r="N245" s="280">
        <f ca="1" t="shared" si="81"/>
        <v>0.153162785088107</v>
      </c>
      <c r="O245" s="226">
        <f t="shared" si="86"/>
        <v>6.6</v>
      </c>
      <c r="P245" s="19">
        <f ca="1" t="shared" si="49"/>
        <v>10.4</v>
      </c>
      <c r="Q245" s="226">
        <f ca="1" t="shared" si="85"/>
        <v>1.94</v>
      </c>
      <c r="R245" s="269">
        <f ca="1" t="shared" si="56"/>
        <v>0.440501218496446</v>
      </c>
      <c r="S245" s="266">
        <f ca="1" t="shared" si="57"/>
        <v>41.3828361923761</v>
      </c>
      <c r="T245" s="226">
        <f ca="1">(1+OFFSET('玩法产出(新)'!$C$18,MATCH(X245,'玩法产出(新)'!$B$19:$B$25,0),1)*(1-V245)+OFFSET('玩法产出(新)'!$C$18,1+MATCH(X245,'玩法产出(新)'!$B$19:$B$25,0),1)*(V245))^AA245*(1+OFFSET('玩法产出(新)'!$C$18,MATCH(X245,'玩法产出(新)'!$B$19:$B$25,0),3)*(1-V245)+OFFSET('玩法产出(新)'!$C$18,1+MATCH(X245,'玩法产出(新)'!$B$19:$B$25,0),3)*(V245))^AB245*(1+OFFSET('玩法产出(新)'!$C$18,MATCH(X245,'玩法产出(新)'!$B$19:$B$25,0),4)*(1-V245)+OFFSET('玩法产出(新)'!$C$18,1+MATCH(X245,'玩法产出(新)'!$B$19:$B$25,0),4)*(V245))^AC245*(1+OFFSET('玩法产出(新)'!$C$18,MATCH(X245,'玩法产出(新)'!$B$19:$B$25,0),5)*(1+V245)+OFFSET('玩法产出(新)'!$C$18,1+MATCH(X245,'玩法产出(新)'!$B$19:$B$25,5),1)*(V245))^AD245*(1+OFFSET('玩法产出(新)'!$C$18,MATCH(X245,'玩法产出(新)'!$B$19:$B$25,0),6)*(1+V245)+OFFSET('玩法产出(新)'!$C$18,1+MATCH(X245,'玩法产出(新)'!$B$19:$B$25,0),6)*(V245))^AE245</f>
        <v>16.4431136553517</v>
      </c>
      <c r="U245" s="226">
        <f ca="1" t="shared" si="77"/>
        <v>0.107811223372373</v>
      </c>
      <c r="V245" s="226">
        <v>0.03</v>
      </c>
      <c r="W245" s="19">
        <v>30</v>
      </c>
      <c r="X245" s="19" t="s">
        <v>326</v>
      </c>
      <c r="Y245" s="19">
        <f t="shared" si="83"/>
        <v>13360</v>
      </c>
      <c r="Z245" s="19">
        <f ca="1" t="shared" si="59"/>
        <v>1.9344</v>
      </c>
      <c r="AA245" s="282">
        <f ca="1" t="shared" si="60"/>
        <v>16.2046958333333</v>
      </c>
      <c r="AB245" s="282">
        <f ca="1" t="shared" si="61"/>
        <v>10.2854166666667</v>
      </c>
      <c r="AC245" s="282">
        <f ca="1" t="shared" si="62"/>
        <v>2.6742</v>
      </c>
      <c r="AD245" s="282">
        <f ca="1" t="shared" si="63"/>
        <v>0.66855</v>
      </c>
      <c r="AE245" s="282">
        <f ca="1" t="shared" si="64"/>
        <v>0.1671375</v>
      </c>
      <c r="AF245" s="19" t="str">
        <f t="shared" si="65"/>
        <v>粉1</v>
      </c>
      <c r="AG245" s="19">
        <f>IFERROR(_xlfn.XLOOKUP(C245+1,[2]基因升级!$E$141:$E$500,[2]基因升级!$D$141:$D$500)-1,AG244)</f>
        <v>77</v>
      </c>
      <c r="AH245" s="19">
        <v>6</v>
      </c>
      <c r="AI245" s="19">
        <f t="shared" si="66"/>
        <v>8.01559450356522</v>
      </c>
      <c r="AJ245" s="19">
        <f t="shared" si="78"/>
        <v>0</v>
      </c>
      <c r="AK245" s="269">
        <v>1.72</v>
      </c>
      <c r="AL245" s="287">
        <f t="shared" si="87"/>
        <v>6.52</v>
      </c>
      <c r="AM245" s="286"/>
      <c r="AQ245" s="19">
        <f t="shared" si="67"/>
        <v>1.55446959044187</v>
      </c>
      <c r="AR245" s="19">
        <f t="shared" si="68"/>
        <v>1</v>
      </c>
      <c r="AS245" s="19">
        <f t="shared" si="69"/>
        <v>1</v>
      </c>
      <c r="AT245" s="19">
        <f t="shared" si="70"/>
        <v>1</v>
      </c>
      <c r="AU245" s="19">
        <f t="shared" si="71"/>
        <v>1</v>
      </c>
      <c r="AV245" s="232">
        <f t="shared" si="50"/>
        <v>0.04</v>
      </c>
      <c r="AW245" s="232">
        <f t="shared" si="51"/>
        <v>0</v>
      </c>
      <c r="AX245" s="232">
        <f t="shared" si="52"/>
        <v>0</v>
      </c>
      <c r="AY245" s="232">
        <f t="shared" si="53"/>
        <v>0</v>
      </c>
      <c r="AZ245" s="232">
        <f t="shared" si="54"/>
        <v>0</v>
      </c>
    </row>
    <row r="246" spans="1:52">
      <c r="A246" s="269"/>
      <c r="C246" s="19">
        <v>123</v>
      </c>
      <c r="D246" s="86">
        <f ca="1" t="shared" si="79"/>
        <v>139.017885616982</v>
      </c>
      <c r="E246" s="251">
        <f ca="1" t="shared" si="55"/>
        <v>0.416385124311489</v>
      </c>
      <c r="F246" s="269">
        <f ca="1" t="shared" si="72"/>
        <v>229.432572650224</v>
      </c>
      <c r="G246" s="283">
        <f ca="1" t="shared" si="73"/>
        <v>95.5323102840681</v>
      </c>
      <c r="H246" s="279">
        <f ca="1" t="shared" si="74"/>
        <v>0.308573900939123</v>
      </c>
      <c r="I246" s="269">
        <f ca="1">SUM($J$125:J246)/SUM($H$125:H246)</f>
        <v>0.613283147731669</v>
      </c>
      <c r="J246" s="284">
        <f t="shared" si="80"/>
        <v>0.156982043895759</v>
      </c>
      <c r="K246" s="19">
        <f t="shared" si="82"/>
        <v>13200</v>
      </c>
      <c r="L246" s="269">
        <f t="shared" si="75"/>
        <v>1.65999999999999</v>
      </c>
      <c r="M246" s="226">
        <f ca="1" t="shared" si="76"/>
        <v>12.936</v>
      </c>
      <c r="N246" s="280">
        <f ca="1" t="shared" si="81"/>
        <v>0.151591857043357</v>
      </c>
      <c r="O246" s="226">
        <f t="shared" si="86"/>
        <v>6.6</v>
      </c>
      <c r="P246" s="19">
        <f ca="1" t="shared" si="49"/>
        <v>10.6</v>
      </c>
      <c r="Q246" s="226">
        <f ca="1" t="shared" si="85"/>
        <v>1.96</v>
      </c>
      <c r="R246" s="269">
        <f ca="1" t="shared" si="56"/>
        <v>0.441648819280557</v>
      </c>
      <c r="S246" s="266">
        <f ca="1" t="shared" si="57"/>
        <v>41.4906474157484</v>
      </c>
      <c r="T246" s="226">
        <f ca="1">(1+OFFSET('玩法产出(新)'!$C$18,MATCH(X246,'玩法产出(新)'!$B$19:$B$25,0),1)*(1-V246)+OFFSET('玩法产出(新)'!$C$18,1+MATCH(X246,'玩法产出(新)'!$B$19:$B$25,0),1)*(V246))^AA246*(1+OFFSET('玩法产出(新)'!$C$18,MATCH(X246,'玩法产出(新)'!$B$19:$B$25,0),3)*(1-V246)+OFFSET('玩法产出(新)'!$C$18,1+MATCH(X246,'玩法产出(新)'!$B$19:$B$25,0),3)*(V246))^AB246*(1+OFFSET('玩法产出(新)'!$C$18,MATCH(X246,'玩法产出(新)'!$B$19:$B$25,0),4)*(1-V246)+OFFSET('玩法产出(新)'!$C$18,1+MATCH(X246,'玩法产出(新)'!$B$19:$B$25,0),4)*(V246))^AC246*(1+OFFSET('玩法产出(新)'!$C$18,MATCH(X246,'玩法产出(新)'!$B$19:$B$25,0),5)*(1+V246)+OFFSET('玩法产出(新)'!$C$18,1+MATCH(X246,'玩法产出(新)'!$B$19:$B$25,5),1)*(V246))^AD246*(1+OFFSET('玩法产出(新)'!$C$18,MATCH(X246,'玩法产出(新)'!$B$19:$B$25,0),6)*(1+V246)+OFFSET('玩法产出(新)'!$C$18,1+MATCH(X246,'玩法产出(新)'!$B$19:$B$25,0),6)*(V246))^AE246</f>
        <v>16.563494189042</v>
      </c>
      <c r="U246" s="226">
        <f ca="1" t="shared" si="77"/>
        <v>0.107811223372373</v>
      </c>
      <c r="V246" s="226">
        <v>0.03</v>
      </c>
      <c r="W246" s="19">
        <v>30</v>
      </c>
      <c r="X246" s="19" t="s">
        <v>326</v>
      </c>
      <c r="Y246" s="19">
        <f t="shared" si="83"/>
        <v>13460</v>
      </c>
      <c r="Z246" s="19">
        <f ca="1" t="shared" si="59"/>
        <v>1.9344</v>
      </c>
      <c r="AA246" s="282">
        <f ca="1" t="shared" si="60"/>
        <v>16.104934375</v>
      </c>
      <c r="AB246" s="282">
        <f ca="1" t="shared" si="61"/>
        <v>10.3578125</v>
      </c>
      <c r="AC246" s="282">
        <f ca="1" t="shared" si="62"/>
        <v>2.69505</v>
      </c>
      <c r="AD246" s="282">
        <f ca="1" t="shared" si="63"/>
        <v>0.6737625</v>
      </c>
      <c r="AE246" s="282">
        <f ca="1" t="shared" si="64"/>
        <v>0.168440625</v>
      </c>
      <c r="AF246" s="19" t="str">
        <f t="shared" si="65"/>
        <v>粉1</v>
      </c>
      <c r="AG246" s="19">
        <f>IFERROR(_xlfn.XLOOKUP(C246+1,[2]基因升级!$E$141:$E$500,[2]基因升级!$D$141:$D$500)-1,AG245)</f>
        <v>77</v>
      </c>
      <c r="AH246" s="19">
        <v>6</v>
      </c>
      <c r="AI246" s="19">
        <f t="shared" si="66"/>
        <v>8.01559450356522</v>
      </c>
      <c r="AJ246" s="19">
        <f t="shared" si="78"/>
        <v>0</v>
      </c>
      <c r="AK246" s="269">
        <v>1.72</v>
      </c>
      <c r="AL246" s="287">
        <f t="shared" si="87"/>
        <v>6.56</v>
      </c>
      <c r="AM246" s="286"/>
      <c r="AQ246" s="19">
        <f t="shared" si="67"/>
        <v>1.55868222075144</v>
      </c>
      <c r="AR246" s="19">
        <f t="shared" si="68"/>
        <v>1</v>
      </c>
      <c r="AS246" s="19">
        <f t="shared" si="69"/>
        <v>1</v>
      </c>
      <c r="AT246" s="19">
        <f t="shared" si="70"/>
        <v>1</v>
      </c>
      <c r="AU246" s="19">
        <f t="shared" si="71"/>
        <v>1</v>
      </c>
      <c r="AV246" s="232">
        <f t="shared" si="50"/>
        <v>0.04</v>
      </c>
      <c r="AW246" s="232">
        <f t="shared" si="51"/>
        <v>0</v>
      </c>
      <c r="AX246" s="232">
        <f t="shared" si="52"/>
        <v>0</v>
      </c>
      <c r="AY246" s="232">
        <f t="shared" si="53"/>
        <v>0</v>
      </c>
      <c r="AZ246" s="232">
        <f t="shared" si="54"/>
        <v>0</v>
      </c>
    </row>
    <row r="247" spans="1:52">
      <c r="A247" s="269"/>
      <c r="C247" s="19">
        <v>124</v>
      </c>
      <c r="D247" s="86">
        <f ca="1" t="shared" si="79"/>
        <v>139.431749335201</v>
      </c>
      <c r="E247" s="251">
        <f ca="1" t="shared" si="55"/>
        <v>0.413863718218923</v>
      </c>
      <c r="F247" s="269">
        <f ca="1" t="shared" si="72"/>
        <v>231.569858772251</v>
      </c>
      <c r="G247" s="283">
        <f ca="1" t="shared" si="73"/>
        <v>95.8383627789146</v>
      </c>
      <c r="H247" s="279">
        <f ca="1" t="shared" si="74"/>
        <v>0.306052494846554</v>
      </c>
      <c r="I247" s="269">
        <f ca="1">SUM($J$125:J247)/SUM($H$125:H247)</f>
        <v>0.612913881958382</v>
      </c>
      <c r="J247" s="284">
        <f t="shared" si="80"/>
        <v>0.1559996680014</v>
      </c>
      <c r="K247" s="19">
        <f t="shared" si="82"/>
        <v>13300</v>
      </c>
      <c r="L247" s="269">
        <f t="shared" si="75"/>
        <v>1.66499999999999</v>
      </c>
      <c r="M247" s="226">
        <f ca="1" t="shared" si="76"/>
        <v>13.068</v>
      </c>
      <c r="N247" s="280">
        <f ca="1" t="shared" si="81"/>
        <v>0.150052826845148</v>
      </c>
      <c r="O247" s="226">
        <f t="shared" si="86"/>
        <v>6.6</v>
      </c>
      <c r="P247" s="19">
        <f ca="1" t="shared" ref="P247:P310" si="88">IF(O247=O246,P246+OFFSET($H$75,MATCH(P246,$G$76:$G$84,1),0),10)</f>
        <v>10.8</v>
      </c>
      <c r="Q247" s="226">
        <f ca="1" t="shared" si="85"/>
        <v>1.98</v>
      </c>
      <c r="R247" s="269">
        <f ca="1" t="shared" si="56"/>
        <v>0.442796420064668</v>
      </c>
      <c r="S247" s="266">
        <f ca="1" t="shared" si="57"/>
        <v>41.5984586391208</v>
      </c>
      <c r="T247" s="226">
        <f ca="1">(1+OFFSET('玩法产出(新)'!$C$18,MATCH(X247,'玩法产出(新)'!$B$19:$B$25,0),1)*(1-V247)+OFFSET('玩法产出(新)'!$C$18,1+MATCH(X247,'玩法产出(新)'!$B$19:$B$25,0),1)*(V247))^AA247*(1+OFFSET('玩法产出(新)'!$C$18,MATCH(X247,'玩法产出(新)'!$B$19:$B$25,0),3)*(1-V247)+OFFSET('玩法产出(新)'!$C$18,1+MATCH(X247,'玩法产出(新)'!$B$19:$B$25,0),3)*(V247))^AB247*(1+OFFSET('玩法产出(新)'!$C$18,MATCH(X247,'玩法产出(新)'!$B$19:$B$25,0),4)*(1-V247)+OFFSET('玩法产出(新)'!$C$18,1+MATCH(X247,'玩法产出(新)'!$B$19:$B$25,0),4)*(V247))^AC247*(1+OFFSET('玩法产出(新)'!$C$18,MATCH(X247,'玩法产出(新)'!$B$19:$B$25,0),5)*(1+V247)+OFFSET('玩法产出(新)'!$C$18,1+MATCH(X247,'玩法产出(新)'!$B$19:$B$25,5),1)*(V247))^AD247*(1+OFFSET('玩法产出(新)'!$C$18,MATCH(X247,'玩法产出(新)'!$B$19:$B$25,0),6)*(1+V247)+OFFSET('玩法产出(新)'!$C$18,1+MATCH(X247,'玩法产出(新)'!$B$19:$B$25,0),6)*(V247))^AE247</f>
        <v>16.6847560322698</v>
      </c>
      <c r="U247" s="226">
        <f ca="1" t="shared" si="77"/>
        <v>0.107811223372376</v>
      </c>
      <c r="V247" s="226">
        <v>0.03</v>
      </c>
      <c r="W247" s="19">
        <v>30</v>
      </c>
      <c r="X247" s="19" t="s">
        <v>326</v>
      </c>
      <c r="Y247" s="19">
        <f t="shared" si="83"/>
        <v>13560</v>
      </c>
      <c r="Z247" s="19">
        <f ca="1" t="shared" si="59"/>
        <v>1.9344</v>
      </c>
      <c r="AA247" s="282">
        <f ca="1" t="shared" si="60"/>
        <v>16.0051729166667</v>
      </c>
      <c r="AB247" s="282">
        <f ca="1" t="shared" si="61"/>
        <v>10.4302083333333</v>
      </c>
      <c r="AC247" s="282">
        <f ca="1" t="shared" si="62"/>
        <v>2.7159</v>
      </c>
      <c r="AD247" s="282">
        <f ca="1" t="shared" si="63"/>
        <v>0.678975</v>
      </c>
      <c r="AE247" s="282">
        <f ca="1" t="shared" si="64"/>
        <v>0.16974375</v>
      </c>
      <c r="AF247" s="19" t="str">
        <f t="shared" si="65"/>
        <v>粉1</v>
      </c>
      <c r="AG247" s="19">
        <f>IFERROR(_xlfn.XLOOKUP(C247+1,[2]基因升级!$E$141:$E$500,[2]基因升级!$D$141:$D$500)-1,AG246)</f>
        <v>77</v>
      </c>
      <c r="AH247" s="19">
        <v>6</v>
      </c>
      <c r="AI247" s="19">
        <f t="shared" si="66"/>
        <v>8.01559450356522</v>
      </c>
      <c r="AJ247" s="19">
        <f t="shared" si="78"/>
        <v>0</v>
      </c>
      <c r="AK247" s="269">
        <v>1.72</v>
      </c>
      <c r="AL247" s="287">
        <f t="shared" si="87"/>
        <v>6.6</v>
      </c>
      <c r="AM247" s="286"/>
      <c r="AQ247" s="19">
        <f t="shared" si="67"/>
        <v>1.56290626733716</v>
      </c>
      <c r="AR247" s="19">
        <f t="shared" si="68"/>
        <v>1</v>
      </c>
      <c r="AS247" s="19">
        <f t="shared" si="69"/>
        <v>1</v>
      </c>
      <c r="AT247" s="19">
        <f t="shared" si="70"/>
        <v>1</v>
      </c>
      <c r="AU247" s="19">
        <f t="shared" si="71"/>
        <v>1</v>
      </c>
      <c r="AV247" s="232">
        <f t="shared" ref="AV247:AV310" si="89">AL247-AL246</f>
        <v>0.04</v>
      </c>
      <c r="AW247" s="232">
        <f t="shared" ref="AW247:AW310" si="90">AM247-AM246</f>
        <v>0</v>
      </c>
      <c r="AX247" s="232">
        <f t="shared" ref="AX247:AX310" si="91">AN247-AN246</f>
        <v>0</v>
      </c>
      <c r="AY247" s="232">
        <f t="shared" ref="AY247:AY310" si="92">AO247-AO246</f>
        <v>0</v>
      </c>
      <c r="AZ247" s="232">
        <f t="shared" ref="AZ247:AZ310" si="93">AP247-AP246</f>
        <v>0</v>
      </c>
    </row>
    <row r="248" spans="1:52">
      <c r="A248" s="269"/>
      <c r="C248" s="19">
        <v>125</v>
      </c>
      <c r="D248" s="86">
        <f ca="1" t="shared" si="79"/>
        <v>139.843136096102</v>
      </c>
      <c r="E248" s="251">
        <f ca="1" t="shared" si="55"/>
        <v>0.411386760901248</v>
      </c>
      <c r="F248" s="269">
        <f ca="1" t="shared" si="72"/>
        <v>233.702071758022</v>
      </c>
      <c r="G248" s="283">
        <f ca="1" t="shared" si="73"/>
        <v>96.1419383164435</v>
      </c>
      <c r="H248" s="279">
        <f ca="1" t="shared" si="74"/>
        <v>0.303575537528857</v>
      </c>
      <c r="I248" s="269">
        <f ca="1">SUM($J$125:J248)/SUM($H$125:H248)</f>
        <v>0.612553606151167</v>
      </c>
      <c r="J248" s="284">
        <f t="shared" si="80"/>
        <v>0.155030804812391</v>
      </c>
      <c r="K248" s="19">
        <f t="shared" si="82"/>
        <v>13400</v>
      </c>
      <c r="L248" s="269">
        <f t="shared" si="75"/>
        <v>1.66999999999999</v>
      </c>
      <c r="M248" s="226">
        <f ca="1" t="shared" si="76"/>
        <v>13.2</v>
      </c>
      <c r="N248" s="280">
        <f ca="1" t="shared" si="81"/>
        <v>0.148544732716481</v>
      </c>
      <c r="O248" s="226">
        <f t="shared" si="86"/>
        <v>6.6</v>
      </c>
      <c r="P248" s="19">
        <f ca="1" t="shared" si="88"/>
        <v>11</v>
      </c>
      <c r="Q248" s="226">
        <f ca="1" t="shared" si="85"/>
        <v>2</v>
      </c>
      <c r="R248" s="269">
        <f ca="1" t="shared" si="56"/>
        <v>0.44394402084878</v>
      </c>
      <c r="S248" s="266">
        <f ca="1" t="shared" si="57"/>
        <v>41.7062698624932</v>
      </c>
      <c r="T248" s="226">
        <f ca="1">(1+OFFSET('玩法产出(新)'!$C$18,MATCH(X248,'玩法产出(新)'!$B$19:$B$25,0),1)*(1-V248)+OFFSET('玩法产出(新)'!$C$18,1+MATCH(X248,'玩法产出(新)'!$B$19:$B$25,0),1)*(V248))^AA248*(1+OFFSET('玩法产出(新)'!$C$18,MATCH(X248,'玩法产出(新)'!$B$19:$B$25,0),3)*(1-V248)+OFFSET('玩法产出(新)'!$C$18,1+MATCH(X248,'玩法产出(新)'!$B$19:$B$25,0),3)*(V248))^AB248*(1+OFFSET('玩法产出(新)'!$C$18,MATCH(X248,'玩法产出(新)'!$B$19:$B$25,0),4)*(1-V248)+OFFSET('玩法产出(新)'!$C$18,1+MATCH(X248,'玩法产出(新)'!$B$19:$B$25,0),4)*(V248))^AC248*(1+OFFSET('玩法产出(新)'!$C$18,MATCH(X248,'玩法产出(新)'!$B$19:$B$25,0),5)*(1+V248)+OFFSET('玩法产出(新)'!$C$18,1+MATCH(X248,'玩法产出(新)'!$B$19:$B$25,5),1)*(V248))^AD248*(1+OFFSET('玩法产出(新)'!$C$18,MATCH(X248,'玩法产出(新)'!$B$19:$B$25,0),6)*(1+V248)+OFFSET('玩法产出(新)'!$C$18,1+MATCH(X248,'玩法产出(新)'!$B$19:$B$25,0),6)*(V248))^AE248</f>
        <v>16.8069056371291</v>
      </c>
      <c r="U248" s="226">
        <f ca="1" t="shared" si="77"/>
        <v>0.107811223372376</v>
      </c>
      <c r="V248" s="226">
        <v>0.03</v>
      </c>
      <c r="W248" s="19">
        <v>30</v>
      </c>
      <c r="X248" s="19" t="s">
        <v>326</v>
      </c>
      <c r="Y248" s="19">
        <f t="shared" si="83"/>
        <v>13660</v>
      </c>
      <c r="Z248" s="19">
        <f ca="1" t="shared" si="59"/>
        <v>1.9344</v>
      </c>
      <c r="AA248" s="282">
        <f ca="1" t="shared" si="60"/>
        <v>15.9054114583333</v>
      </c>
      <c r="AB248" s="282">
        <f ca="1" t="shared" si="61"/>
        <v>10.5026041666667</v>
      </c>
      <c r="AC248" s="282">
        <f ca="1" t="shared" si="62"/>
        <v>2.73675</v>
      </c>
      <c r="AD248" s="282">
        <f ca="1" t="shared" si="63"/>
        <v>0.6841875</v>
      </c>
      <c r="AE248" s="282">
        <f ca="1" t="shared" si="64"/>
        <v>0.171046875</v>
      </c>
      <c r="AF248" s="19" t="str">
        <f t="shared" si="65"/>
        <v>粉1</v>
      </c>
      <c r="AG248" s="19">
        <f>IFERROR(_xlfn.XLOOKUP(C248+1,[2]基因升级!$E$141:$E$500,[2]基因升级!$D$141:$D$500)-1,AG247)</f>
        <v>78</v>
      </c>
      <c r="AH248" s="19">
        <v>6</v>
      </c>
      <c r="AI248" s="19">
        <f t="shared" si="66"/>
        <v>8.01559450356522</v>
      </c>
      <c r="AJ248" s="19">
        <f t="shared" si="78"/>
        <v>0</v>
      </c>
      <c r="AK248" s="269">
        <v>1.72</v>
      </c>
      <c r="AL248" s="287">
        <f t="shared" si="87"/>
        <v>6.64</v>
      </c>
      <c r="AM248" s="286"/>
      <c r="AQ248" s="19">
        <f t="shared" si="67"/>
        <v>1.56714176113729</v>
      </c>
      <c r="AR248" s="19">
        <f t="shared" si="68"/>
        <v>1</v>
      </c>
      <c r="AS248" s="19">
        <f t="shared" si="69"/>
        <v>1</v>
      </c>
      <c r="AT248" s="19">
        <f t="shared" si="70"/>
        <v>1</v>
      </c>
      <c r="AU248" s="19">
        <f t="shared" si="71"/>
        <v>1</v>
      </c>
      <c r="AV248" s="232">
        <f t="shared" si="89"/>
        <v>0.04</v>
      </c>
      <c r="AW248" s="232">
        <f t="shared" si="90"/>
        <v>0</v>
      </c>
      <c r="AX248" s="232">
        <f t="shared" si="91"/>
        <v>0</v>
      </c>
      <c r="AY248" s="232">
        <f t="shared" si="92"/>
        <v>0</v>
      </c>
      <c r="AZ248" s="232">
        <f t="shared" si="93"/>
        <v>0</v>
      </c>
    </row>
    <row r="249" spans="1:52">
      <c r="A249" s="269"/>
      <c r="C249" s="19">
        <v>126</v>
      </c>
      <c r="D249" s="86">
        <f ca="1" t="shared" si="79"/>
        <v>140.252089134285</v>
      </c>
      <c r="E249" s="251">
        <f ca="1" t="shared" si="55"/>
        <v>0.408953038183196</v>
      </c>
      <c r="F249" s="269">
        <f ca="1" t="shared" si="72"/>
        <v>235.829230074215</v>
      </c>
      <c r="G249" s="283">
        <f ca="1" t="shared" si="73"/>
        <v>96.4430801312543</v>
      </c>
      <c r="H249" s="279">
        <f ca="1" t="shared" si="74"/>
        <v>0.301141814810833</v>
      </c>
      <c r="I249" s="269">
        <f ca="1">SUM($J$125:J249)/SUM($H$125:H249)</f>
        <v>0.612202041388205</v>
      </c>
      <c r="J249" s="284">
        <f t="shared" si="80"/>
        <v>0.154075163649161</v>
      </c>
      <c r="K249" s="19">
        <f t="shared" si="82"/>
        <v>13500</v>
      </c>
      <c r="L249" s="269">
        <f t="shared" si="75"/>
        <v>1.67499999999999</v>
      </c>
      <c r="M249" s="226">
        <f ca="1" t="shared" si="76"/>
        <v>13.332</v>
      </c>
      <c r="N249" s="280">
        <f ca="1" t="shared" si="81"/>
        <v>0.147066651161666</v>
      </c>
      <c r="O249" s="226">
        <f t="shared" si="86"/>
        <v>6.6</v>
      </c>
      <c r="P249" s="19">
        <f ca="1" t="shared" si="88"/>
        <v>11.2</v>
      </c>
      <c r="Q249" s="226">
        <f ca="1" t="shared" si="85"/>
        <v>2.02</v>
      </c>
      <c r="R249" s="269">
        <f ca="1" t="shared" si="56"/>
        <v>0.445091621632891</v>
      </c>
      <c r="S249" s="266">
        <f ca="1" t="shared" si="57"/>
        <v>41.8140810858656</v>
      </c>
      <c r="T249" s="226">
        <f ca="1">(1+OFFSET('玩法产出(新)'!$C$18,MATCH(X249,'玩法产出(新)'!$B$19:$B$25,0),1)*(1-V249)+OFFSET('玩法产出(新)'!$C$18,1+MATCH(X249,'玩法产出(新)'!$B$19:$B$25,0),1)*(V249))^AA249*(1+OFFSET('玩法产出(新)'!$C$18,MATCH(X249,'玩法产出(新)'!$B$19:$B$25,0),3)*(1-V249)+OFFSET('玩法产出(新)'!$C$18,1+MATCH(X249,'玩法产出(新)'!$B$19:$B$25,0),3)*(V249))^AB249*(1+OFFSET('玩法产出(新)'!$C$18,MATCH(X249,'玩法产出(新)'!$B$19:$B$25,0),4)*(1-V249)+OFFSET('玩法产出(新)'!$C$18,1+MATCH(X249,'玩法产出(新)'!$B$19:$B$25,0),4)*(V249))^AC249*(1+OFFSET('玩法产出(新)'!$C$18,MATCH(X249,'玩法产出(新)'!$B$19:$B$25,0),5)*(1+V249)+OFFSET('玩法产出(新)'!$C$18,1+MATCH(X249,'玩法产出(新)'!$B$19:$B$25,5),1)*(V249))^AD249*(1+OFFSET('玩法产出(新)'!$C$18,MATCH(X249,'玩法产出(新)'!$B$19:$B$25,0),6)*(1+V249)+OFFSET('玩法产出(新)'!$C$18,1+MATCH(X249,'玩法产出(新)'!$B$19:$B$25,0),6)*(V249))^AE249</f>
        <v>16.9299495029495</v>
      </c>
      <c r="U249" s="226">
        <f ca="1" t="shared" si="77"/>
        <v>0.107811223372369</v>
      </c>
      <c r="V249" s="226">
        <v>0.03</v>
      </c>
      <c r="W249" s="19">
        <v>30</v>
      </c>
      <c r="X249" s="19" t="s">
        <v>326</v>
      </c>
      <c r="Y249" s="19">
        <f t="shared" si="83"/>
        <v>13760</v>
      </c>
      <c r="Z249" s="19">
        <f ca="1" t="shared" si="59"/>
        <v>1.9344</v>
      </c>
      <c r="AA249" s="282">
        <f ca="1" t="shared" si="60"/>
        <v>15.80565</v>
      </c>
      <c r="AB249" s="282">
        <f ca="1" t="shared" si="61"/>
        <v>10.575</v>
      </c>
      <c r="AC249" s="282">
        <f ca="1" t="shared" si="62"/>
        <v>2.7576</v>
      </c>
      <c r="AD249" s="282">
        <f ca="1" t="shared" si="63"/>
        <v>0.6894</v>
      </c>
      <c r="AE249" s="282">
        <f ca="1" t="shared" si="64"/>
        <v>0.17235</v>
      </c>
      <c r="AF249" s="19" t="str">
        <f t="shared" si="65"/>
        <v>粉1</v>
      </c>
      <c r="AG249" s="19">
        <f>IFERROR(_xlfn.XLOOKUP(C249+1,[2]基因升级!$E$141:$E$500,[2]基因升级!$D$141:$D$500)-1,AG248)</f>
        <v>78</v>
      </c>
      <c r="AH249" s="19">
        <v>6</v>
      </c>
      <c r="AI249" s="19">
        <f t="shared" si="66"/>
        <v>8.01559450356522</v>
      </c>
      <c r="AJ249" s="19">
        <f t="shared" si="78"/>
        <v>0</v>
      </c>
      <c r="AK249" s="269">
        <v>1.72</v>
      </c>
      <c r="AL249" s="287">
        <f t="shared" si="87"/>
        <v>6.68</v>
      </c>
      <c r="AM249" s="286"/>
      <c r="AQ249" s="19">
        <f t="shared" si="67"/>
        <v>1.57138873317389</v>
      </c>
      <c r="AR249" s="19">
        <f t="shared" si="68"/>
        <v>1</v>
      </c>
      <c r="AS249" s="19">
        <f t="shared" si="69"/>
        <v>1</v>
      </c>
      <c r="AT249" s="19">
        <f t="shared" si="70"/>
        <v>1</v>
      </c>
      <c r="AU249" s="19">
        <f t="shared" si="71"/>
        <v>1</v>
      </c>
      <c r="AV249" s="232">
        <f t="shared" si="89"/>
        <v>0.04</v>
      </c>
      <c r="AW249" s="232">
        <f t="shared" si="90"/>
        <v>0</v>
      </c>
      <c r="AX249" s="232">
        <f t="shared" si="91"/>
        <v>0</v>
      </c>
      <c r="AY249" s="232">
        <f t="shared" si="92"/>
        <v>0</v>
      </c>
      <c r="AZ249" s="232">
        <f t="shared" si="93"/>
        <v>0</v>
      </c>
    </row>
    <row r="250" spans="1:52">
      <c r="A250" s="269"/>
      <c r="C250" s="19">
        <v>127</v>
      </c>
      <c r="D250" s="86">
        <f ca="1" t="shared" si="79"/>
        <v>140.658650515024</v>
      </c>
      <c r="E250" s="251">
        <f ca="1" t="shared" si="55"/>
        <v>0.406561380739088</v>
      </c>
      <c r="F250" s="269">
        <f ca="1" t="shared" si="72"/>
        <v>237.951352174066</v>
      </c>
      <c r="G250" s="283">
        <f ca="1" t="shared" si="73"/>
        <v>96.741830288621</v>
      </c>
      <c r="H250" s="279">
        <f ca="1" t="shared" si="74"/>
        <v>0.298750157366726</v>
      </c>
      <c r="I250" s="269">
        <f ca="1">SUM($J$125:J250)/SUM($H$125:H250)</f>
        <v>0.611858919807537</v>
      </c>
      <c r="J250" s="284">
        <f t="shared" si="80"/>
        <v>0.153132462286329</v>
      </c>
      <c r="K250" s="19">
        <f t="shared" si="82"/>
        <v>13600</v>
      </c>
      <c r="L250" s="269">
        <f t="shared" si="75"/>
        <v>1.67999999999999</v>
      </c>
      <c r="M250" s="226">
        <f ca="1" t="shared" si="76"/>
        <v>13.464</v>
      </c>
      <c r="N250" s="280">
        <f ca="1" t="shared" si="81"/>
        <v>0.145617695080389</v>
      </c>
      <c r="O250" s="226">
        <f t="shared" si="86"/>
        <v>6.6</v>
      </c>
      <c r="P250" s="19">
        <f ca="1" t="shared" si="88"/>
        <v>11.4</v>
      </c>
      <c r="Q250" s="226">
        <f ca="1" t="shared" si="85"/>
        <v>2.04</v>
      </c>
      <c r="R250" s="269">
        <f ca="1" t="shared" si="56"/>
        <v>0.446239222417002</v>
      </c>
      <c r="S250" s="266">
        <f ca="1" t="shared" si="57"/>
        <v>41.9218923092379</v>
      </c>
      <c r="T250" s="226">
        <f ca="1">(1+OFFSET('玩法产出(新)'!$C$18,MATCH(X250,'玩法产出(新)'!$B$19:$B$25,0),1)*(1-V250)+OFFSET('玩法产出(新)'!$C$18,1+MATCH(X250,'玩法产出(新)'!$B$19:$B$25,0),1)*(V250))^AA250*(1+OFFSET('玩法产出(新)'!$C$18,MATCH(X250,'玩法产出(新)'!$B$19:$B$25,0),3)*(1-V250)+OFFSET('玩法产出(新)'!$C$18,1+MATCH(X250,'玩法产出(新)'!$B$19:$B$25,0),3)*(V250))^AB250*(1+OFFSET('玩法产出(新)'!$C$18,MATCH(X250,'玩法产出(新)'!$B$19:$B$25,0),4)*(1-V250)+OFFSET('玩法产出(新)'!$C$18,1+MATCH(X250,'玩法产出(新)'!$B$19:$B$25,0),4)*(V250))^AC250*(1+OFFSET('玩法产出(新)'!$C$18,MATCH(X250,'玩法产出(新)'!$B$19:$B$25,0),5)*(1+V250)+OFFSET('玩法产出(新)'!$C$18,1+MATCH(X250,'玩法产出(新)'!$B$19:$B$25,5),1)*(V250))^AD250*(1+OFFSET('玩法产出(新)'!$C$18,MATCH(X250,'玩法产出(新)'!$B$19:$B$25,0),6)*(1+V250)+OFFSET('玩法产出(新)'!$C$18,1+MATCH(X250,'玩法产出(新)'!$B$19:$B$25,0),6)*(V250))^AE250</f>
        <v>17.0538941766428</v>
      </c>
      <c r="U250" s="226">
        <f ca="1" t="shared" si="77"/>
        <v>0.107811223372369</v>
      </c>
      <c r="V250" s="226">
        <v>0.03</v>
      </c>
      <c r="W250" s="19">
        <v>30</v>
      </c>
      <c r="X250" s="19" t="s">
        <v>326</v>
      </c>
      <c r="Y250" s="19">
        <f t="shared" si="83"/>
        <v>13860</v>
      </c>
      <c r="Z250" s="19">
        <f ca="1" t="shared" si="59"/>
        <v>1.9344</v>
      </c>
      <c r="AA250" s="282">
        <f ca="1" t="shared" si="60"/>
        <v>15.7058885416667</v>
      </c>
      <c r="AB250" s="282">
        <f ca="1" t="shared" si="61"/>
        <v>10.6473958333333</v>
      </c>
      <c r="AC250" s="282">
        <f ca="1" t="shared" si="62"/>
        <v>2.77845</v>
      </c>
      <c r="AD250" s="282">
        <f ca="1" t="shared" si="63"/>
        <v>0.6946125</v>
      </c>
      <c r="AE250" s="282">
        <f ca="1" t="shared" si="64"/>
        <v>0.173653125</v>
      </c>
      <c r="AF250" s="19" t="str">
        <f t="shared" si="65"/>
        <v>粉1</v>
      </c>
      <c r="AG250" s="19">
        <f>IFERROR(_xlfn.XLOOKUP(C250+1,[2]基因升级!$E$141:$E$500,[2]基因升级!$D$141:$D$500)-1,AG249)</f>
        <v>78</v>
      </c>
      <c r="AH250" s="19">
        <v>6</v>
      </c>
      <c r="AI250" s="19">
        <f t="shared" si="66"/>
        <v>8.01559450356522</v>
      </c>
      <c r="AJ250" s="19">
        <f t="shared" si="78"/>
        <v>0</v>
      </c>
      <c r="AK250" s="269">
        <v>1.72</v>
      </c>
      <c r="AL250" s="287">
        <f t="shared" si="87"/>
        <v>6.72</v>
      </c>
      <c r="AM250" s="286"/>
      <c r="AQ250" s="19">
        <f t="shared" si="67"/>
        <v>1.57564721455312</v>
      </c>
      <c r="AR250" s="19">
        <f t="shared" si="68"/>
        <v>1</v>
      </c>
      <c r="AS250" s="19">
        <f t="shared" si="69"/>
        <v>1</v>
      </c>
      <c r="AT250" s="19">
        <f t="shared" si="70"/>
        <v>1</v>
      </c>
      <c r="AU250" s="19">
        <f t="shared" si="71"/>
        <v>1</v>
      </c>
      <c r="AV250" s="232">
        <f t="shared" si="89"/>
        <v>0.04</v>
      </c>
      <c r="AW250" s="232">
        <f t="shared" si="90"/>
        <v>0</v>
      </c>
      <c r="AX250" s="232">
        <f t="shared" si="91"/>
        <v>0</v>
      </c>
      <c r="AY250" s="232">
        <f t="shared" si="92"/>
        <v>0</v>
      </c>
      <c r="AZ250" s="232">
        <f t="shared" si="93"/>
        <v>0</v>
      </c>
    </row>
    <row r="251" spans="1:52">
      <c r="A251" s="269"/>
      <c r="C251" s="19">
        <v>128</v>
      </c>
      <c r="D251" s="86">
        <f ca="1" t="shared" si="79"/>
        <v>141.062861177034</v>
      </c>
      <c r="E251" s="251">
        <f ca="1" t="shared" si="55"/>
        <v>0.404210662009645</v>
      </c>
      <c r="F251" s="269">
        <f ca="1" t="shared" si="72"/>
        <v>240.068456494457</v>
      </c>
      <c r="G251" s="283">
        <f ca="1" t="shared" si="73"/>
        <v>97.0382297272583</v>
      </c>
      <c r="H251" s="279">
        <f ca="1" t="shared" si="74"/>
        <v>0.296399438637266</v>
      </c>
      <c r="I251" s="269">
        <f ca="1">SUM($J$125:J251)/SUM($H$125:H251)</f>
        <v>0.611523984069499</v>
      </c>
      <c r="J251" s="284">
        <f t="shared" si="80"/>
        <v>0.152202426644919</v>
      </c>
      <c r="K251" s="19">
        <f t="shared" si="82"/>
        <v>13700</v>
      </c>
      <c r="L251" s="269">
        <f t="shared" si="75"/>
        <v>1.68499999999999</v>
      </c>
      <c r="M251" s="226">
        <f ca="1" t="shared" si="76"/>
        <v>13.596</v>
      </c>
      <c r="N251" s="280">
        <f ca="1" t="shared" si="81"/>
        <v>0.144197011992347</v>
      </c>
      <c r="O251" s="226">
        <f t="shared" si="86"/>
        <v>6.6</v>
      </c>
      <c r="P251" s="19">
        <f ca="1" t="shared" si="88"/>
        <v>11.6</v>
      </c>
      <c r="Q251" s="226">
        <f ca="1" t="shared" si="85"/>
        <v>2.06</v>
      </c>
      <c r="R251" s="269">
        <f ca="1" t="shared" si="56"/>
        <v>0.447386823201114</v>
      </c>
      <c r="S251" s="266">
        <f ca="1" t="shared" si="57"/>
        <v>42.0297035326103</v>
      </c>
      <c r="T251" s="226">
        <f ca="1">(1+OFFSET('玩法产出(新)'!$C$18,MATCH(X251,'玩法产出(新)'!$B$19:$B$25,0),1)*(1-V251)+OFFSET('玩法产出(新)'!$C$18,1+MATCH(X251,'玩法产出(新)'!$B$19:$B$25,0),1)*(V251))^AA251*(1+OFFSET('玩法产出(新)'!$C$18,MATCH(X251,'玩法产出(新)'!$B$19:$B$25,0),3)*(1-V251)+OFFSET('玩法产出(新)'!$C$18,1+MATCH(X251,'玩法产出(新)'!$B$19:$B$25,0),3)*(V251))^AB251*(1+OFFSET('玩法产出(新)'!$C$18,MATCH(X251,'玩法产出(新)'!$B$19:$B$25,0),4)*(1-V251)+OFFSET('玩法产出(新)'!$C$18,1+MATCH(X251,'玩法产出(新)'!$B$19:$B$25,0),4)*(V251))^AC251*(1+OFFSET('玩法产出(新)'!$C$18,MATCH(X251,'玩法产出(新)'!$B$19:$B$25,0),5)*(1+V251)+OFFSET('玩法产出(新)'!$C$18,1+MATCH(X251,'玩法产出(新)'!$B$19:$B$25,5),1)*(V251))^AD251*(1+OFFSET('玩法产出(新)'!$C$18,MATCH(X251,'玩法产出(新)'!$B$19:$B$25,0),6)*(1+V251)+OFFSET('玩法产出(新)'!$C$18,1+MATCH(X251,'玩法产出(新)'!$B$19:$B$25,0),6)*(V251))^AE251</f>
        <v>17.1787462530507</v>
      </c>
      <c r="U251" s="226">
        <f ca="1" t="shared" si="77"/>
        <v>0.107811223372379</v>
      </c>
      <c r="V251" s="226">
        <v>0.03</v>
      </c>
      <c r="W251" s="19">
        <v>30</v>
      </c>
      <c r="X251" s="19" t="s">
        <v>326</v>
      </c>
      <c r="Y251" s="19">
        <f t="shared" si="83"/>
        <v>13960</v>
      </c>
      <c r="Z251" s="19">
        <f ca="1" t="shared" si="59"/>
        <v>1.9344</v>
      </c>
      <c r="AA251" s="282">
        <f ca="1" t="shared" si="60"/>
        <v>15.6061270833333</v>
      </c>
      <c r="AB251" s="282">
        <f ca="1" t="shared" si="61"/>
        <v>10.7197916666667</v>
      </c>
      <c r="AC251" s="282">
        <f ca="1" t="shared" si="62"/>
        <v>2.7993</v>
      </c>
      <c r="AD251" s="282">
        <f ca="1" t="shared" si="63"/>
        <v>0.699825</v>
      </c>
      <c r="AE251" s="282">
        <f ca="1" t="shared" si="64"/>
        <v>0.17495625</v>
      </c>
      <c r="AF251" s="19" t="str">
        <f t="shared" si="65"/>
        <v>粉1</v>
      </c>
      <c r="AG251" s="19">
        <f>IFERROR(_xlfn.XLOOKUP(C251+1,[2]基因升级!$E$141:$E$500,[2]基因升级!$D$141:$D$500)-1,AG250)</f>
        <v>78</v>
      </c>
      <c r="AH251" s="19">
        <v>6</v>
      </c>
      <c r="AI251" s="19">
        <f t="shared" si="66"/>
        <v>8.01559450356522</v>
      </c>
      <c r="AJ251" s="19">
        <f t="shared" si="78"/>
        <v>0</v>
      </c>
      <c r="AK251" s="269">
        <v>1.72</v>
      </c>
      <c r="AL251" s="287">
        <f t="shared" si="87"/>
        <v>6.76</v>
      </c>
      <c r="AM251" s="286"/>
      <c r="AQ251" s="19">
        <f t="shared" si="67"/>
        <v>1.57991723646543</v>
      </c>
      <c r="AR251" s="19">
        <f t="shared" si="68"/>
        <v>1</v>
      </c>
      <c r="AS251" s="19">
        <f t="shared" si="69"/>
        <v>1</v>
      </c>
      <c r="AT251" s="19">
        <f t="shared" si="70"/>
        <v>1</v>
      </c>
      <c r="AU251" s="19">
        <f t="shared" si="71"/>
        <v>1</v>
      </c>
      <c r="AV251" s="232">
        <f t="shared" si="89"/>
        <v>0.04</v>
      </c>
      <c r="AW251" s="232">
        <f t="shared" si="90"/>
        <v>0</v>
      </c>
      <c r="AX251" s="232">
        <f t="shared" si="91"/>
        <v>0</v>
      </c>
      <c r="AY251" s="232">
        <f t="shared" si="92"/>
        <v>0</v>
      </c>
      <c r="AZ251" s="232">
        <f t="shared" si="93"/>
        <v>0</v>
      </c>
    </row>
    <row r="252" spans="1:52">
      <c r="A252" s="269"/>
      <c r="C252" s="19">
        <v>129</v>
      </c>
      <c r="D252" s="86">
        <f ca="1" t="shared" si="79"/>
        <v>141.464760973269</v>
      </c>
      <c r="E252" s="251">
        <f ca="1" t="shared" ref="E252:E315" si="94">J252+N252+U252+AJ252</f>
        <v>0.401899796234929</v>
      </c>
      <c r="F252" s="269">
        <f ca="1" t="shared" si="72"/>
        <v>242.180561453248</v>
      </c>
      <c r="G252" s="283">
        <f ca="1" t="shared" si="73"/>
        <v>97.3323183001209</v>
      </c>
      <c r="H252" s="279">
        <f ca="1" t="shared" si="74"/>
        <v>0.294088572862563</v>
      </c>
      <c r="I252" s="269">
        <f ca="1">SUM($J$125:J252)/SUM($H$125:H252)</f>
        <v>0.611196986850095</v>
      </c>
      <c r="J252" s="284">
        <f t="shared" si="80"/>
        <v>0.151284790497968</v>
      </c>
      <c r="K252" s="19">
        <f t="shared" si="82"/>
        <v>13800</v>
      </c>
      <c r="L252" s="269">
        <f t="shared" si="75"/>
        <v>1.68999999999999</v>
      </c>
      <c r="M252" s="226">
        <f ca="1" t="shared" si="76"/>
        <v>13.728</v>
      </c>
      <c r="N252" s="280">
        <f ca="1" t="shared" si="81"/>
        <v>0.142803782364588</v>
      </c>
      <c r="O252" s="226">
        <f t="shared" si="86"/>
        <v>6.6</v>
      </c>
      <c r="P252" s="19">
        <f ca="1" t="shared" si="88"/>
        <v>11.8</v>
      </c>
      <c r="Q252" s="226">
        <f ca="1" t="shared" si="85"/>
        <v>2.08</v>
      </c>
      <c r="R252" s="269">
        <f ca="1" t="shared" ref="R252:R315" si="95">S252/$E$115</f>
        <v>0.448534423985225</v>
      </c>
      <c r="S252" s="266">
        <f ca="1" t="shared" ref="S252:S315" si="96">LOG(T252,1.07)</f>
        <v>42.1375147559827</v>
      </c>
      <c r="T252" s="226">
        <f ca="1">(1+OFFSET('玩法产出(新)'!$C$18,MATCH(X252,'玩法产出(新)'!$B$19:$B$25,0),1)*(1-V252)+OFFSET('玩法产出(新)'!$C$18,1+MATCH(X252,'玩法产出(新)'!$B$19:$B$25,0),1)*(V252))^AA252*(1+OFFSET('玩法产出(新)'!$C$18,MATCH(X252,'玩法产出(新)'!$B$19:$B$25,0),3)*(1-V252)+OFFSET('玩法产出(新)'!$C$18,1+MATCH(X252,'玩法产出(新)'!$B$19:$B$25,0),3)*(V252))^AB252*(1+OFFSET('玩法产出(新)'!$C$18,MATCH(X252,'玩法产出(新)'!$B$19:$B$25,0),4)*(1-V252)+OFFSET('玩法产出(新)'!$C$18,1+MATCH(X252,'玩法产出(新)'!$B$19:$B$25,0),4)*(V252))^AC252*(1+OFFSET('玩法产出(新)'!$C$18,MATCH(X252,'玩法产出(新)'!$B$19:$B$25,0),5)*(1+V252)+OFFSET('玩法产出(新)'!$C$18,1+MATCH(X252,'玩法产出(新)'!$B$19:$B$25,5),1)*(V252))^AD252*(1+OFFSET('玩法产出(新)'!$C$18,MATCH(X252,'玩法产出(新)'!$B$19:$B$25,0),6)*(1+V252)+OFFSET('玩法产出(新)'!$C$18,1+MATCH(X252,'玩法产出(新)'!$B$19:$B$25,0),6)*(V252))^AE252</f>
        <v>17.3045123752959</v>
      </c>
      <c r="U252" s="226">
        <f ca="1" t="shared" si="77"/>
        <v>0.107811223372373</v>
      </c>
      <c r="V252" s="226">
        <v>0.03</v>
      </c>
      <c r="W252" s="19">
        <v>30</v>
      </c>
      <c r="X252" s="19" t="s">
        <v>326</v>
      </c>
      <c r="Y252" s="19">
        <f t="shared" si="83"/>
        <v>14060</v>
      </c>
      <c r="Z252" s="19">
        <f ca="1" t="shared" ref="Z252:Z315" si="97">(_xlfn.XLOOKUP(X252,$W$110:$W$115,$X$110:$X$115)+V252*_xlfn.XLOOKUP(X252,$W$110:$W$115,$Y$110:$Y$115))*MIN(AA252/2,6)</f>
        <v>1.9344</v>
      </c>
      <c r="AA252" s="282">
        <f ca="1" t="shared" ref="AA252:AA315" si="98">MAX(W252-SUM(AB252:AE252),0)</f>
        <v>15.506365625</v>
      </c>
      <c r="AB252" s="282">
        <f ca="1" t="shared" ref="AB252:AB315" si="99">MIN(1+($Y252*$P$116+120*$C252)/OFFSET($G$101,MATCH(AB$123,$AB$123:$AE$123),0),18)</f>
        <v>10.7921875</v>
      </c>
      <c r="AC252" s="282">
        <f ca="1" t="shared" ref="AC252:AC315" si="100">MIN(($Y252*$P$116+120*$C252)/OFFSET($G$101,MATCH(AC$123,$AB$123:$AE$123),0),12)</f>
        <v>2.82015</v>
      </c>
      <c r="AD252" s="282">
        <f ca="1" t="shared" ref="AD252:AD315" si="101">IF(MATCH($X252,$L$112:$L$118,0)&gt;=4,($Y252*$P$116+120*$C252)/OFFSET($G$101,MATCH(AD$123,$AB$123:$AE$123),0),0)</f>
        <v>0.7050375</v>
      </c>
      <c r="AE252" s="282">
        <f ca="1" t="shared" ref="AE252:AE315" si="102">IF(MATCH($X252,$L$112:$L$118,0)&gt;=4,($Y252*$P$116+120*$C252)/OFFSET($G$101,MATCH(AE$123,$AB$123:$AE$123),0),0)</f>
        <v>0.176259375</v>
      </c>
      <c r="AF252" s="19" t="str">
        <f t="shared" ref="AF252:AF315" si="103">_xlfn.XLOOKUP(O252,$D$77:$D$95,$F$77:$F$95)</f>
        <v>粉1</v>
      </c>
      <c r="AG252" s="19">
        <f>IFERROR(_xlfn.XLOOKUP(C252+1,[2]基因升级!$E$141:$E$500,[2]基因升级!$D$141:$D$500)-1,AG251)</f>
        <v>78</v>
      </c>
      <c r="AH252" s="19">
        <v>6</v>
      </c>
      <c r="AI252" s="19">
        <f t="shared" ref="AI252:AI315" si="104">LOG(AK252,1.07)</f>
        <v>8.01559450356522</v>
      </c>
      <c r="AJ252" s="19">
        <f t="shared" si="78"/>
        <v>0</v>
      </c>
      <c r="AK252" s="269">
        <v>1.72</v>
      </c>
      <c r="AL252" s="287">
        <f t="shared" si="87"/>
        <v>6.8</v>
      </c>
      <c r="AM252" s="286"/>
      <c r="AQ252" s="19">
        <f t="shared" ref="AQ252:AQ315" si="105">1.07^AL252</f>
        <v>1.5841988301858</v>
      </c>
      <c r="AR252" s="19">
        <f t="shared" ref="AR252:AR315" si="106">1.07^AM252</f>
        <v>1</v>
      </c>
      <c r="AS252" s="19">
        <f t="shared" ref="AS252:AS315" si="107">1.07^AN252</f>
        <v>1</v>
      </c>
      <c r="AT252" s="19">
        <f t="shared" ref="AT252:AT315" si="108">1.07^AO252</f>
        <v>1</v>
      </c>
      <c r="AU252" s="19">
        <f t="shared" ref="AU252:AU315" si="109">1.07^AP252</f>
        <v>1</v>
      </c>
      <c r="AV252" s="232">
        <f t="shared" si="89"/>
        <v>0.04</v>
      </c>
      <c r="AW252" s="232">
        <f t="shared" si="90"/>
        <v>0</v>
      </c>
      <c r="AX252" s="232">
        <f t="shared" si="91"/>
        <v>0</v>
      </c>
      <c r="AY252" s="232">
        <f t="shared" si="92"/>
        <v>0</v>
      </c>
      <c r="AZ252" s="232">
        <f t="shared" si="93"/>
        <v>0</v>
      </c>
    </row>
    <row r="253" spans="1:52">
      <c r="A253" s="269"/>
      <c r="C253" s="19">
        <v>130</v>
      </c>
      <c r="D253" s="86">
        <f ca="1" t="shared" si="79"/>
        <v>141.864388709865</v>
      </c>
      <c r="E253" s="251">
        <f ca="1" t="shared" si="94"/>
        <v>0.399627736596269</v>
      </c>
      <c r="F253" s="269">
        <f ca="1" t="shared" ref="F253:F316" si="110">G253/E253</f>
        <v>244.287685446547</v>
      </c>
      <c r="G253" s="283">
        <f ca="1" t="shared" ref="G253:G316" si="111">LOG((K253*O253*L253*Q253)/($K$124*$O$124*$L$124*$Q$124),1.07)+$G$124</f>
        <v>97.6241348133448</v>
      </c>
      <c r="H253" s="279">
        <f ca="1" t="shared" ref="H253:H316" si="112">G253-G252</f>
        <v>0.291816513223893</v>
      </c>
      <c r="I253" s="269">
        <f ca="1">SUM($J$125:J253)/SUM($H$125:H253)</f>
        <v>0.610877690363272</v>
      </c>
      <c r="J253" s="284">
        <f t="shared" si="80"/>
        <v>0.150379295188792</v>
      </c>
      <c r="K253" s="19">
        <f t="shared" si="82"/>
        <v>13900</v>
      </c>
      <c r="L253" s="269">
        <f t="shared" ref="L253:L316" si="113">L252+0.5%</f>
        <v>1.69499999999999</v>
      </c>
      <c r="M253" s="226">
        <f ca="1" t="shared" ref="M253:M316" si="114">O253*Q253</f>
        <v>13.86</v>
      </c>
      <c r="N253" s="280">
        <f ca="1" t="shared" si="81"/>
        <v>0.141437218035101</v>
      </c>
      <c r="O253" s="226">
        <f t="shared" si="86"/>
        <v>6.6</v>
      </c>
      <c r="P253" s="19">
        <f ca="1" t="shared" si="88"/>
        <v>12</v>
      </c>
      <c r="Q253" s="226">
        <f ca="1" t="shared" si="85"/>
        <v>2.1</v>
      </c>
      <c r="R253" s="269">
        <f ca="1" t="shared" si="95"/>
        <v>0.449682024769337</v>
      </c>
      <c r="S253" s="266">
        <f ca="1" t="shared" si="96"/>
        <v>42.2453259793551</v>
      </c>
      <c r="T253" s="226">
        <f ca="1">(1+OFFSET('玩法产出(新)'!$C$18,MATCH(X253,'玩法产出(新)'!$B$19:$B$25,0),1)*(1-V253)+OFFSET('玩法产出(新)'!$C$18,1+MATCH(X253,'玩法产出(新)'!$B$19:$B$25,0),1)*(V253))^AA253*(1+OFFSET('玩法产出(新)'!$C$18,MATCH(X253,'玩法产出(新)'!$B$19:$B$25,0),3)*(1-V253)+OFFSET('玩法产出(新)'!$C$18,1+MATCH(X253,'玩法产出(新)'!$B$19:$B$25,0),3)*(V253))^AB253*(1+OFFSET('玩法产出(新)'!$C$18,MATCH(X253,'玩法产出(新)'!$B$19:$B$25,0),4)*(1-V253)+OFFSET('玩法产出(新)'!$C$18,1+MATCH(X253,'玩法产出(新)'!$B$19:$B$25,0),4)*(V253))^AC253*(1+OFFSET('玩法产出(新)'!$C$18,MATCH(X253,'玩法产出(新)'!$B$19:$B$25,0),5)*(1+V253)+OFFSET('玩法产出(新)'!$C$18,1+MATCH(X253,'玩法产出(新)'!$B$19:$B$25,5),1)*(V253))^AD253*(1+OFFSET('玩法产出(新)'!$C$18,MATCH(X253,'玩法产出(新)'!$B$19:$B$25,0),6)*(1+V253)+OFFSET('玩法产出(新)'!$C$18,1+MATCH(X253,'玩法产出(新)'!$B$19:$B$25,0),6)*(V253))^AE253</f>
        <v>17.4311992351359</v>
      </c>
      <c r="U253" s="226">
        <f ca="1" t="shared" ref="U253:U316" si="115">LOG(T253/T252,1.07)</f>
        <v>0.107811223372376</v>
      </c>
      <c r="V253" s="226">
        <v>0.03</v>
      </c>
      <c r="W253" s="19">
        <v>30</v>
      </c>
      <c r="X253" s="19" t="s">
        <v>326</v>
      </c>
      <c r="Y253" s="19">
        <f t="shared" si="83"/>
        <v>14160</v>
      </c>
      <c r="Z253" s="19">
        <f ca="1" t="shared" si="97"/>
        <v>1.9344</v>
      </c>
      <c r="AA253" s="282">
        <f ca="1" t="shared" si="98"/>
        <v>15.4066041666667</v>
      </c>
      <c r="AB253" s="282">
        <f ca="1" t="shared" si="99"/>
        <v>10.8645833333333</v>
      </c>
      <c r="AC253" s="282">
        <f ca="1" t="shared" si="100"/>
        <v>2.841</v>
      </c>
      <c r="AD253" s="282">
        <f ca="1" t="shared" si="101"/>
        <v>0.71025</v>
      </c>
      <c r="AE253" s="282">
        <f ca="1" t="shared" si="102"/>
        <v>0.1775625</v>
      </c>
      <c r="AF253" s="19" t="str">
        <f t="shared" si="103"/>
        <v>粉1</v>
      </c>
      <c r="AG253" s="19">
        <f>IFERROR(_xlfn.XLOOKUP(C253+1,[2]基因升级!$E$141:$E$500,[2]基因升级!$D$141:$D$500)-1,AG252)</f>
        <v>79</v>
      </c>
      <c r="AH253" s="19">
        <v>6</v>
      </c>
      <c r="AI253" s="19">
        <f t="shared" si="104"/>
        <v>8.01559450356522</v>
      </c>
      <c r="AJ253" s="19">
        <f t="shared" ref="AJ253:AJ316" si="116">AI253-AI252</f>
        <v>0</v>
      </c>
      <c r="AK253" s="269">
        <v>1.72</v>
      </c>
      <c r="AL253" s="287">
        <f t="shared" si="87"/>
        <v>6.84</v>
      </c>
      <c r="AM253" s="286"/>
      <c r="AQ253" s="19">
        <f t="shared" si="105"/>
        <v>1.58849202707396</v>
      </c>
      <c r="AR253" s="19">
        <f t="shared" si="106"/>
        <v>1</v>
      </c>
      <c r="AS253" s="19">
        <f t="shared" si="107"/>
        <v>1</v>
      </c>
      <c r="AT253" s="19">
        <f t="shared" si="108"/>
        <v>1</v>
      </c>
      <c r="AU253" s="19">
        <f t="shared" si="109"/>
        <v>1</v>
      </c>
      <c r="AV253" s="232">
        <f t="shared" si="89"/>
        <v>0.04</v>
      </c>
      <c r="AW253" s="232">
        <f t="shared" si="90"/>
        <v>0</v>
      </c>
      <c r="AX253" s="232">
        <f t="shared" si="91"/>
        <v>0</v>
      </c>
      <c r="AY253" s="232">
        <f t="shared" si="92"/>
        <v>0</v>
      </c>
      <c r="AZ253" s="232">
        <f t="shared" si="93"/>
        <v>0</v>
      </c>
    </row>
    <row r="254" spans="1:52">
      <c r="A254" s="269"/>
      <c r="C254" s="19">
        <v>131</v>
      </c>
      <c r="D254" s="86">
        <f ca="1" t="shared" ref="D254:D317" si="117">D253+E254</f>
        <v>142.273341341944</v>
      </c>
      <c r="E254" s="251">
        <f ca="1" t="shared" si="94"/>
        <v>0.408952632078741</v>
      </c>
      <c r="F254" s="269">
        <f ca="1" t="shared" si="110"/>
        <v>239.425570061081</v>
      </c>
      <c r="G254" s="283">
        <f ca="1" t="shared" si="111"/>
        <v>97.913717063432</v>
      </c>
      <c r="H254" s="279">
        <f ca="1" t="shared" si="112"/>
        <v>0.289582250087278</v>
      </c>
      <c r="I254" s="269">
        <f ca="1">SUM($J$125:J254)/SUM($H$125:H254)</f>
        <v>0.610565865910186</v>
      </c>
      <c r="J254" s="284">
        <f t="shared" ref="J254:J317" si="118">LOG(K254*L254/$K$124/$L$124,1.07)-LOG(K253*L253/$K$124/$L$124,1.07)</f>
        <v>0.149485689361406</v>
      </c>
      <c r="K254" s="19">
        <f t="shared" si="82"/>
        <v>14000</v>
      </c>
      <c r="L254" s="269">
        <f t="shared" si="113"/>
        <v>1.69999999999999</v>
      </c>
      <c r="M254" s="226">
        <f ca="1" t="shared" si="114"/>
        <v>13.992</v>
      </c>
      <c r="N254" s="280">
        <f ca="1" t="shared" ref="N254:N317" si="119">LOG(O254*Q254/($O$124*$Q$124),1.07)-LOG(O253*Q253/($O$124*$Q$124),1.07)</f>
        <v>0.140096560725894</v>
      </c>
      <c r="O254" s="226">
        <f t="shared" si="86"/>
        <v>6.6</v>
      </c>
      <c r="P254" s="19">
        <f ca="1" t="shared" si="88"/>
        <v>12.2</v>
      </c>
      <c r="Q254" s="226">
        <f ca="1" t="shared" si="85"/>
        <v>2.12</v>
      </c>
      <c r="R254" s="269">
        <f ca="1" t="shared" si="95"/>
        <v>0.450952667469493</v>
      </c>
      <c r="S254" s="266">
        <f ca="1" t="shared" si="96"/>
        <v>42.3646963613465</v>
      </c>
      <c r="T254" s="226">
        <f ca="1">(1+OFFSET('玩法产出(新)'!$C$18,MATCH(X254,'玩法产出(新)'!$B$19:$B$25,0),1)*(1-V254)+OFFSET('玩法产出(新)'!$C$18,1+MATCH(X254,'玩法产出(新)'!$B$19:$B$25,0),1)*(V254))^AA254*(1+OFFSET('玩法产出(新)'!$C$18,MATCH(X254,'玩法产出(新)'!$B$19:$B$25,0),3)*(1-V254)+OFFSET('玩法产出(新)'!$C$18,1+MATCH(X254,'玩法产出(新)'!$B$19:$B$25,0),3)*(V254))^AB254*(1+OFFSET('玩法产出(新)'!$C$18,MATCH(X254,'玩法产出(新)'!$B$19:$B$25,0),4)*(1-V254)+OFFSET('玩法产出(新)'!$C$18,1+MATCH(X254,'玩法产出(新)'!$B$19:$B$25,0),4)*(V254))^AC254*(1+OFFSET('玩法产出(新)'!$C$18,MATCH(X254,'玩法产出(新)'!$B$19:$B$25,0),5)*(1+V254)+OFFSET('玩法产出(新)'!$C$18,1+MATCH(X254,'玩法产出(新)'!$B$19:$B$25,5),1)*(V254))^AD254*(1+OFFSET('玩法产出(新)'!$C$18,MATCH(X254,'玩法产出(新)'!$B$19:$B$25,0),6)*(1+V254)+OFFSET('玩法产出(新)'!$C$18,1+MATCH(X254,'玩法产出(新)'!$B$19:$B$25,0),6)*(V254))^AE254</f>
        <v>17.5725512897095</v>
      </c>
      <c r="U254" s="226">
        <f ca="1" t="shared" si="115"/>
        <v>0.119370381991441</v>
      </c>
      <c r="V254" s="226">
        <f ca="1">COUNTIF($X$124:$X254,X254)/(COUNTIF($X$124:$X$723,X254)+1)</f>
        <v>0.0309278350515464</v>
      </c>
      <c r="W254" s="19">
        <v>30</v>
      </c>
      <c r="X254" s="19" t="s">
        <v>326</v>
      </c>
      <c r="Y254" s="19">
        <f t="shared" si="83"/>
        <v>14260</v>
      </c>
      <c r="Z254" s="19">
        <f ca="1" t="shared" si="97"/>
        <v>1.93484536082474</v>
      </c>
      <c r="AA254" s="282">
        <f ca="1" t="shared" si="98"/>
        <v>15.3068427083333</v>
      </c>
      <c r="AB254" s="282">
        <f ca="1" t="shared" si="99"/>
        <v>10.9369791666667</v>
      </c>
      <c r="AC254" s="282">
        <f ca="1" t="shared" si="100"/>
        <v>2.86185</v>
      </c>
      <c r="AD254" s="282">
        <f ca="1" t="shared" si="101"/>
        <v>0.7154625</v>
      </c>
      <c r="AE254" s="282">
        <f ca="1" t="shared" si="102"/>
        <v>0.178865625</v>
      </c>
      <c r="AF254" s="19" t="str">
        <f t="shared" si="103"/>
        <v>粉1</v>
      </c>
      <c r="AG254" s="19">
        <f>IFERROR(_xlfn.XLOOKUP(C254+1,[2]基因升级!$E$141:$E$500,[2]基因升级!$D$141:$D$500)-1,AG253)</f>
        <v>79</v>
      </c>
      <c r="AH254" s="19">
        <v>6</v>
      </c>
      <c r="AI254" s="19">
        <f t="shared" si="104"/>
        <v>8.01559450356522</v>
      </c>
      <c r="AJ254" s="19">
        <f t="shared" si="116"/>
        <v>0</v>
      </c>
      <c r="AK254" s="269">
        <v>1.72</v>
      </c>
      <c r="AL254" s="287">
        <f t="shared" si="87"/>
        <v>6.88</v>
      </c>
      <c r="AM254" s="286"/>
      <c r="AQ254" s="19">
        <f t="shared" si="105"/>
        <v>1.59279685857462</v>
      </c>
      <c r="AR254" s="19">
        <f t="shared" si="106"/>
        <v>1</v>
      </c>
      <c r="AS254" s="19">
        <f t="shared" si="107"/>
        <v>1</v>
      </c>
      <c r="AT254" s="19">
        <f t="shared" si="108"/>
        <v>1</v>
      </c>
      <c r="AU254" s="19">
        <f t="shared" si="109"/>
        <v>1</v>
      </c>
      <c r="AV254" s="232">
        <f t="shared" si="89"/>
        <v>0.04</v>
      </c>
      <c r="AW254" s="232">
        <f t="shared" si="90"/>
        <v>0</v>
      </c>
      <c r="AX254" s="232">
        <f t="shared" si="91"/>
        <v>0</v>
      </c>
      <c r="AY254" s="232">
        <f t="shared" si="92"/>
        <v>0</v>
      </c>
      <c r="AZ254" s="232">
        <f t="shared" si="93"/>
        <v>0</v>
      </c>
    </row>
    <row r="255" spans="1:52">
      <c r="A255" s="269"/>
      <c r="C255" s="19">
        <v>132</v>
      </c>
      <c r="D255" s="86">
        <f ca="1" t="shared" si="117"/>
        <v>142.694374480727</v>
      </c>
      <c r="E255" s="251">
        <f ca="1" t="shared" si="94"/>
        <v>0.421033138783439</v>
      </c>
      <c r="F255" s="269">
        <f ca="1" t="shared" si="110"/>
        <v>233.23841481106</v>
      </c>
      <c r="G255" s="283">
        <f ca="1" t="shared" si="111"/>
        <v>98.2011018727745</v>
      </c>
      <c r="H255" s="279">
        <f ca="1" t="shared" si="112"/>
        <v>0.287384809342427</v>
      </c>
      <c r="I255" s="269">
        <f ca="1">SUM($J$125:J255)/SUM($H$125:H255)</f>
        <v>0.610261293453688</v>
      </c>
      <c r="J255" s="284">
        <f t="shared" si="118"/>
        <v>0.148603728702398</v>
      </c>
      <c r="K255" s="19">
        <f t="shared" si="82"/>
        <v>14100</v>
      </c>
      <c r="L255" s="269">
        <f t="shared" si="113"/>
        <v>1.70499999999999</v>
      </c>
      <c r="M255" s="226">
        <f ca="1" t="shared" si="114"/>
        <v>14.124</v>
      </c>
      <c r="N255" s="280">
        <f ca="1" t="shared" si="119"/>
        <v>0.138781080640008</v>
      </c>
      <c r="O255" s="226">
        <f t="shared" si="86"/>
        <v>6.6</v>
      </c>
      <c r="P255" s="19">
        <f ca="1" t="shared" si="88"/>
        <v>12.4</v>
      </c>
      <c r="Q255" s="226">
        <f ca="1" t="shared" si="85"/>
        <v>2.14</v>
      </c>
      <c r="R255" s="269">
        <f ca="1" t="shared" si="95"/>
        <v>0.452375292339744</v>
      </c>
      <c r="S255" s="266">
        <f ca="1" t="shared" si="96"/>
        <v>42.4983446907875</v>
      </c>
      <c r="T255" s="226">
        <f ca="1">(1+OFFSET('玩法产出(新)'!$C$18,MATCH(X255,'玩法产出(新)'!$B$19:$B$25,0),1)*(1-V255)+OFFSET('玩法产出(新)'!$C$18,1+MATCH(X255,'玩法产出(新)'!$B$19:$B$25,0),1)*(V255))^AA255*(1+OFFSET('玩法产出(新)'!$C$18,MATCH(X255,'玩法产出(新)'!$B$19:$B$25,0),3)*(1-V255)+OFFSET('玩法产出(新)'!$C$18,1+MATCH(X255,'玩法产出(新)'!$B$19:$B$25,0),3)*(V255))^AB255*(1+OFFSET('玩法产出(新)'!$C$18,MATCH(X255,'玩法产出(新)'!$B$19:$B$25,0),4)*(1-V255)+OFFSET('玩法产出(新)'!$C$18,1+MATCH(X255,'玩法产出(新)'!$B$19:$B$25,0),4)*(V255))^AC255*(1+OFFSET('玩法产出(新)'!$C$18,MATCH(X255,'玩法产出(新)'!$B$19:$B$25,0),5)*(1+V255)+OFFSET('玩法产出(新)'!$C$18,1+MATCH(X255,'玩法产出(新)'!$B$19:$B$25,5),1)*(V255))^AD255*(1+OFFSET('玩法产出(新)'!$C$18,MATCH(X255,'玩法产出(新)'!$B$19:$B$25,0),6)*(1+V255)+OFFSET('玩法产出(新)'!$C$18,1+MATCH(X255,'玩法产出(新)'!$B$19:$B$25,0),6)*(V255))^AE255</f>
        <v>17.7321710662204</v>
      </c>
      <c r="U255" s="226">
        <f ca="1" t="shared" si="115"/>
        <v>0.133648329441033</v>
      </c>
      <c r="V255" s="226">
        <f ca="1">COUNTIF($X$124:$X255,X255)/(COUNTIF($X$124:$X$723,X255)+1)</f>
        <v>0.0329896907216495</v>
      </c>
      <c r="W255" s="19">
        <v>30</v>
      </c>
      <c r="X255" s="19" t="s">
        <v>326</v>
      </c>
      <c r="Y255" s="19">
        <f t="shared" si="83"/>
        <v>14360</v>
      </c>
      <c r="Z255" s="19">
        <f ca="1" t="shared" si="97"/>
        <v>1.93583505154639</v>
      </c>
      <c r="AA255" s="282">
        <f ca="1" t="shared" si="98"/>
        <v>15.20708125</v>
      </c>
      <c r="AB255" s="282">
        <f ca="1" t="shared" si="99"/>
        <v>11.009375</v>
      </c>
      <c r="AC255" s="282">
        <f ca="1" t="shared" si="100"/>
        <v>2.8827</v>
      </c>
      <c r="AD255" s="282">
        <f ca="1" t="shared" si="101"/>
        <v>0.720675</v>
      </c>
      <c r="AE255" s="282">
        <f ca="1" t="shared" si="102"/>
        <v>0.18016875</v>
      </c>
      <c r="AF255" s="19" t="str">
        <f t="shared" si="103"/>
        <v>粉1</v>
      </c>
      <c r="AG255" s="19">
        <f>IFERROR(_xlfn.XLOOKUP(C255+1,[2]基因升级!$E$141:$E$500,[2]基因升级!$D$141:$D$500)-1,AG254)</f>
        <v>79</v>
      </c>
      <c r="AH255" s="19">
        <v>6</v>
      </c>
      <c r="AI255" s="19">
        <f t="shared" si="104"/>
        <v>8.01559450356522</v>
      </c>
      <c r="AJ255" s="19">
        <f t="shared" si="116"/>
        <v>0</v>
      </c>
      <c r="AK255" s="269">
        <v>1.72</v>
      </c>
      <c r="AL255" s="287">
        <f t="shared" si="87"/>
        <v>6.92</v>
      </c>
      <c r="AM255" s="286"/>
      <c r="AQ255" s="19">
        <f t="shared" si="105"/>
        <v>1.59711335621772</v>
      </c>
      <c r="AR255" s="19">
        <f t="shared" si="106"/>
        <v>1</v>
      </c>
      <c r="AS255" s="19">
        <f t="shared" si="107"/>
        <v>1</v>
      </c>
      <c r="AT255" s="19">
        <f t="shared" si="108"/>
        <v>1</v>
      </c>
      <c r="AU255" s="19">
        <f t="shared" si="109"/>
        <v>1</v>
      </c>
      <c r="AV255" s="232">
        <f t="shared" si="89"/>
        <v>0.04</v>
      </c>
      <c r="AW255" s="232">
        <f t="shared" si="90"/>
        <v>0</v>
      </c>
      <c r="AX255" s="232">
        <f t="shared" si="91"/>
        <v>0</v>
      </c>
      <c r="AY255" s="232">
        <f t="shared" si="92"/>
        <v>0</v>
      </c>
      <c r="AZ255" s="232">
        <f t="shared" si="93"/>
        <v>0</v>
      </c>
    </row>
    <row r="256" spans="1:52">
      <c r="A256" s="269"/>
      <c r="C256" s="19">
        <v>133</v>
      </c>
      <c r="D256" s="86">
        <f ca="1" t="shared" si="117"/>
        <v>143.113452985614</v>
      </c>
      <c r="E256" s="251">
        <f ca="1" t="shared" si="94"/>
        <v>0.419078504886596</v>
      </c>
      <c r="F256" s="269">
        <f ca="1" t="shared" si="110"/>
        <v>235.006863810053</v>
      </c>
      <c r="G256" s="283">
        <f ca="1" t="shared" si="111"/>
        <v>98.4863251236049</v>
      </c>
      <c r="H256" s="279">
        <f ca="1" t="shared" si="112"/>
        <v>0.285223250830427</v>
      </c>
      <c r="I256" s="269">
        <f ca="1">SUM($J$125:J256)/SUM($H$125:H256)</f>
        <v>0.609963761216426</v>
      </c>
      <c r="J256" s="284">
        <f t="shared" si="118"/>
        <v>0.147733175693709</v>
      </c>
      <c r="K256" s="19">
        <f t="shared" si="82"/>
        <v>14200</v>
      </c>
      <c r="L256" s="269">
        <f t="shared" si="113"/>
        <v>1.70999999999999</v>
      </c>
      <c r="M256" s="226">
        <f ca="1" t="shared" si="114"/>
        <v>14.256</v>
      </c>
      <c r="N256" s="280">
        <f ca="1" t="shared" si="119"/>
        <v>0.137490075136725</v>
      </c>
      <c r="O256" s="226">
        <f t="shared" si="86"/>
        <v>6.6</v>
      </c>
      <c r="P256" s="19">
        <f ca="1" t="shared" si="88"/>
        <v>12.6</v>
      </c>
      <c r="Q256" s="226">
        <f ca="1" t="shared" si="85"/>
        <v>2.16</v>
      </c>
      <c r="R256" s="269">
        <f ca="1" t="shared" si="95"/>
        <v>0.453800119827154</v>
      </c>
      <c r="S256" s="266">
        <f ca="1" t="shared" si="96"/>
        <v>42.6321999448437</v>
      </c>
      <c r="T256" s="226">
        <f ca="1">(1+OFFSET('玩法产出(新)'!$C$18,MATCH(X256,'玩法产出(新)'!$B$19:$B$25,0),1)*(1-V256)+OFFSET('玩法产出(新)'!$C$18,1+MATCH(X256,'玩法产出(新)'!$B$19:$B$25,0),1)*(V256))^AA256*(1+OFFSET('玩法产出(新)'!$C$18,MATCH(X256,'玩法产出(新)'!$B$19:$B$25,0),3)*(1-V256)+OFFSET('玩法产出(新)'!$C$18,1+MATCH(X256,'玩法产出(新)'!$B$19:$B$25,0),3)*(V256))^AB256*(1+OFFSET('玩法产出(新)'!$C$18,MATCH(X256,'玩法产出(新)'!$B$19:$B$25,0),4)*(1-V256)+OFFSET('玩法产出(新)'!$C$18,1+MATCH(X256,'玩法产出(新)'!$B$19:$B$25,0),4)*(V256))^AC256*(1+OFFSET('玩法产出(新)'!$C$18,MATCH(X256,'玩法产出(新)'!$B$19:$B$25,0),5)*(1+V256)+OFFSET('玩法产出(新)'!$C$18,1+MATCH(X256,'玩法产出(新)'!$B$19:$B$25,5),1)*(V256))^AD256*(1+OFFSET('玩法产出(新)'!$C$18,MATCH(X256,'玩法产出(新)'!$B$19:$B$25,0),6)*(1+V256)+OFFSET('玩法产出(新)'!$C$18,1+MATCH(X256,'玩法产出(新)'!$B$19:$B$25,0),6)*(V256))^AE256</f>
        <v>17.8934912559067</v>
      </c>
      <c r="U256" s="226">
        <f ca="1" t="shared" si="115"/>
        <v>0.133855254056162</v>
      </c>
      <c r="V256" s="226">
        <f ca="1">COUNTIF($X$124:$X256,X256)/(COUNTIF($X$124:$X$723,X256)+1)</f>
        <v>0.0350515463917526</v>
      </c>
      <c r="W256" s="19">
        <v>30</v>
      </c>
      <c r="X256" s="19" t="s">
        <v>326</v>
      </c>
      <c r="Y256" s="19">
        <f t="shared" si="83"/>
        <v>14460</v>
      </c>
      <c r="Z256" s="19">
        <f ca="1" t="shared" si="97"/>
        <v>1.93682474226804</v>
      </c>
      <c r="AA256" s="282">
        <f ca="1" t="shared" si="98"/>
        <v>15.1073197916667</v>
      </c>
      <c r="AB256" s="282">
        <f ca="1" t="shared" si="99"/>
        <v>11.0817708333333</v>
      </c>
      <c r="AC256" s="282">
        <f ca="1" t="shared" si="100"/>
        <v>2.90355</v>
      </c>
      <c r="AD256" s="282">
        <f ca="1" t="shared" si="101"/>
        <v>0.7258875</v>
      </c>
      <c r="AE256" s="282">
        <f ca="1" t="shared" si="102"/>
        <v>0.181471875</v>
      </c>
      <c r="AF256" s="19" t="str">
        <f t="shared" si="103"/>
        <v>粉1</v>
      </c>
      <c r="AG256" s="19">
        <f>IFERROR(_xlfn.XLOOKUP(C256+1,[2]基因升级!$E$141:$E$500,[2]基因升级!$D$141:$D$500)-1,AG255)</f>
        <v>79</v>
      </c>
      <c r="AH256" s="19">
        <v>6</v>
      </c>
      <c r="AI256" s="19">
        <f t="shared" si="104"/>
        <v>8.01559450356522</v>
      </c>
      <c r="AJ256" s="19">
        <f t="shared" si="116"/>
        <v>0</v>
      </c>
      <c r="AK256" s="269">
        <v>1.72</v>
      </c>
      <c r="AL256" s="287">
        <f t="shared" si="87"/>
        <v>6.96</v>
      </c>
      <c r="AM256" s="286"/>
      <c r="AQ256" s="19">
        <f t="shared" si="105"/>
        <v>1.60144155161864</v>
      </c>
      <c r="AR256" s="19">
        <f t="shared" si="106"/>
        <v>1</v>
      </c>
      <c r="AS256" s="19">
        <f t="shared" si="107"/>
        <v>1</v>
      </c>
      <c r="AT256" s="19">
        <f t="shared" si="108"/>
        <v>1</v>
      </c>
      <c r="AU256" s="19">
        <f t="shared" si="109"/>
        <v>1</v>
      </c>
      <c r="AV256" s="232">
        <f t="shared" si="89"/>
        <v>0.04</v>
      </c>
      <c r="AW256" s="232">
        <f t="shared" si="90"/>
        <v>0</v>
      </c>
      <c r="AX256" s="232">
        <f t="shared" si="91"/>
        <v>0</v>
      </c>
      <c r="AY256" s="232">
        <f t="shared" si="92"/>
        <v>0</v>
      </c>
      <c r="AZ256" s="232">
        <f t="shared" si="93"/>
        <v>0</v>
      </c>
    </row>
    <row r="257" spans="1:52">
      <c r="A257" s="269"/>
      <c r="C257" s="19">
        <v>134</v>
      </c>
      <c r="D257" s="86">
        <f ca="1" t="shared" si="117"/>
        <v>143.530611718847</v>
      </c>
      <c r="E257" s="251">
        <f ca="1" t="shared" si="94"/>
        <v>0.417158733233133</v>
      </c>
      <c r="F257" s="269">
        <f ca="1" t="shared" si="110"/>
        <v>236.766999997726</v>
      </c>
      <c r="G257" s="283">
        <f ca="1" t="shared" si="111"/>
        <v>98.7694217904607</v>
      </c>
      <c r="H257" s="279">
        <f ca="1" t="shared" si="112"/>
        <v>0.283096666855783</v>
      </c>
      <c r="I257" s="269">
        <f ca="1">SUM($J$125:J257)/SUM($H$125:H257)</f>
        <v>0.60967306530102</v>
      </c>
      <c r="J257" s="284">
        <f t="shared" si="118"/>
        <v>0.146873799375804</v>
      </c>
      <c r="K257" s="19">
        <f t="shared" si="82"/>
        <v>14300</v>
      </c>
      <c r="L257" s="269">
        <f t="shared" si="113"/>
        <v>1.71499999999999</v>
      </c>
      <c r="M257" s="226">
        <f ca="1" t="shared" si="114"/>
        <v>14.388</v>
      </c>
      <c r="N257" s="280">
        <f ca="1" t="shared" si="119"/>
        <v>0.136222867479987</v>
      </c>
      <c r="O257" s="226">
        <f t="shared" si="86"/>
        <v>6.6</v>
      </c>
      <c r="P257" s="19">
        <f ca="1" t="shared" si="88"/>
        <v>12.8</v>
      </c>
      <c r="Q257" s="226">
        <f ca="1" t="shared" si="85"/>
        <v>2.18</v>
      </c>
      <c r="R257" s="269">
        <f ca="1" t="shared" si="95"/>
        <v>0.455227148736406</v>
      </c>
      <c r="S257" s="266">
        <f ca="1" t="shared" si="96"/>
        <v>42.766262011221</v>
      </c>
      <c r="T257" s="226">
        <f ca="1">(1+OFFSET('玩法产出(新)'!$C$18,MATCH(X257,'玩法产出(新)'!$B$19:$B$25,0),1)*(1-V257)+OFFSET('玩法产出(新)'!$C$18,1+MATCH(X257,'玩法产出(新)'!$B$19:$B$25,0),1)*(V257))^AA257*(1+OFFSET('玩法产出(新)'!$C$18,MATCH(X257,'玩法产出(新)'!$B$19:$B$25,0),3)*(1-V257)+OFFSET('玩法产出(新)'!$C$18,1+MATCH(X257,'玩法产出(新)'!$B$19:$B$25,0),3)*(V257))^AB257*(1+OFFSET('玩法产出(新)'!$C$18,MATCH(X257,'玩法产出(新)'!$B$19:$B$25,0),4)*(1-V257)+OFFSET('玩法产出(新)'!$C$18,1+MATCH(X257,'玩法产出(新)'!$B$19:$B$25,0),4)*(V257))^AC257*(1+OFFSET('玩法产出(新)'!$C$18,MATCH(X257,'玩法产出(新)'!$B$19:$B$25,0),5)*(1+V257)+OFFSET('玩法产出(新)'!$C$18,1+MATCH(X257,'玩法产出(新)'!$B$19:$B$25,5),1)*(V257))^AD257*(1+OFFSET('玩法产出(新)'!$C$18,MATCH(X257,'玩法产出(新)'!$B$19:$B$25,0),6)*(1+V257)+OFFSET('玩法产出(新)'!$C$18,1+MATCH(X257,'玩法产出(新)'!$B$19:$B$25,0),6)*(V257))^AE257</f>
        <v>18.0565317288805</v>
      </c>
      <c r="U257" s="226">
        <f ca="1" t="shared" si="115"/>
        <v>0.134062066377342</v>
      </c>
      <c r="V257" s="226">
        <f ca="1">COUNTIF($X$124:$X257,X257)/(COUNTIF($X$124:$X$723,X257)+1)</f>
        <v>0.0371134020618557</v>
      </c>
      <c r="W257" s="19">
        <v>30</v>
      </c>
      <c r="X257" s="19" t="s">
        <v>326</v>
      </c>
      <c r="Y257" s="19">
        <f t="shared" si="83"/>
        <v>14560</v>
      </c>
      <c r="Z257" s="19">
        <f ca="1" t="shared" si="97"/>
        <v>1.93781443298969</v>
      </c>
      <c r="AA257" s="282">
        <f ca="1" t="shared" si="98"/>
        <v>15.0075583333333</v>
      </c>
      <c r="AB257" s="282">
        <f ca="1" t="shared" si="99"/>
        <v>11.1541666666667</v>
      </c>
      <c r="AC257" s="282">
        <f ca="1" t="shared" si="100"/>
        <v>2.9244</v>
      </c>
      <c r="AD257" s="282">
        <f ca="1" t="shared" si="101"/>
        <v>0.7311</v>
      </c>
      <c r="AE257" s="282">
        <f ca="1" t="shared" si="102"/>
        <v>0.182775</v>
      </c>
      <c r="AF257" s="19" t="str">
        <f t="shared" si="103"/>
        <v>粉1</v>
      </c>
      <c r="AG257" s="19">
        <f>IFERROR(_xlfn.XLOOKUP(C257+1,[2]基因升级!$E$141:$E$500,[2]基因升级!$D$141:$D$500)-1,AG256)</f>
        <v>79</v>
      </c>
      <c r="AH257" s="19">
        <v>6</v>
      </c>
      <c r="AI257" s="19">
        <f t="shared" si="104"/>
        <v>8.01559450356522</v>
      </c>
      <c r="AJ257" s="19">
        <f t="shared" si="116"/>
        <v>0</v>
      </c>
      <c r="AK257" s="269">
        <v>1.72</v>
      </c>
      <c r="AL257" s="287">
        <f t="shared" si="87"/>
        <v>7</v>
      </c>
      <c r="AM257" s="286"/>
      <c r="AQ257" s="19">
        <f t="shared" si="105"/>
        <v>1.60578147647843</v>
      </c>
      <c r="AR257" s="19">
        <f t="shared" si="106"/>
        <v>1</v>
      </c>
      <c r="AS257" s="19">
        <f t="shared" si="107"/>
        <v>1</v>
      </c>
      <c r="AT257" s="19">
        <f t="shared" si="108"/>
        <v>1</v>
      </c>
      <c r="AU257" s="19">
        <f t="shared" si="109"/>
        <v>1</v>
      </c>
      <c r="AV257" s="232">
        <f t="shared" si="89"/>
        <v>0.04</v>
      </c>
      <c r="AW257" s="232">
        <f t="shared" si="90"/>
        <v>0</v>
      </c>
      <c r="AX257" s="232">
        <f t="shared" si="91"/>
        <v>0</v>
      </c>
      <c r="AY257" s="232">
        <f t="shared" si="92"/>
        <v>0</v>
      </c>
      <c r="AZ257" s="232">
        <f t="shared" si="93"/>
        <v>0</v>
      </c>
    </row>
    <row r="258" spans="1:52">
      <c r="A258" s="269"/>
      <c r="C258" s="19">
        <v>135</v>
      </c>
      <c r="D258" s="86">
        <f ca="1" t="shared" si="117"/>
        <v>143.945884666188</v>
      </c>
      <c r="E258" s="251">
        <f ca="1" t="shared" si="94"/>
        <v>0.415272947340701</v>
      </c>
      <c r="F258" s="269">
        <f ca="1" t="shared" si="110"/>
        <v>238.518850326105</v>
      </c>
      <c r="G258" s="283">
        <f ca="1" t="shared" si="111"/>
        <v>99.0504259712371</v>
      </c>
      <c r="H258" s="279">
        <f ca="1" t="shared" si="112"/>
        <v>0.281004180776435</v>
      </c>
      <c r="I258" s="269">
        <f ca="1">SUM($J$125:J258)/SUM($H$125:H258)</f>
        <v>0.609389009330937</v>
      </c>
      <c r="J258" s="284">
        <f t="shared" si="118"/>
        <v>0.14602537512075</v>
      </c>
      <c r="K258" s="19">
        <f t="shared" ref="K258:K321" si="120">K257+100</f>
        <v>14400</v>
      </c>
      <c r="L258" s="269">
        <f t="shared" si="113"/>
        <v>1.71999999999999</v>
      </c>
      <c r="M258" s="226">
        <f ca="1" t="shared" si="114"/>
        <v>14.52</v>
      </c>
      <c r="N258" s="280">
        <f ca="1" t="shared" si="119"/>
        <v>0.134978805655678</v>
      </c>
      <c r="O258" s="226">
        <f t="shared" si="86"/>
        <v>6.6</v>
      </c>
      <c r="P258" s="19">
        <f ca="1" t="shared" si="88"/>
        <v>13</v>
      </c>
      <c r="Q258" s="226">
        <f ca="1" t="shared" si="85"/>
        <v>2.2</v>
      </c>
      <c r="R258" s="269">
        <f ca="1" t="shared" si="95"/>
        <v>0.456656377873883</v>
      </c>
      <c r="S258" s="266">
        <f ca="1" t="shared" si="96"/>
        <v>42.9005307777853</v>
      </c>
      <c r="T258" s="226">
        <f ca="1">(1+OFFSET('玩法产出(新)'!$C$18,MATCH(X258,'玩法产出(新)'!$B$19:$B$25,0),1)*(1-V258)+OFFSET('玩法产出(新)'!$C$18,1+MATCH(X258,'玩法产出(新)'!$B$19:$B$25,0),1)*(V258))^AA258*(1+OFFSET('玩法产出(新)'!$C$18,MATCH(X258,'玩法产出(新)'!$B$19:$B$25,0),3)*(1-V258)+OFFSET('玩法产出(新)'!$C$18,1+MATCH(X258,'玩法产出(新)'!$B$19:$B$25,0),3)*(V258))^AB258*(1+OFFSET('玩法产出(新)'!$C$18,MATCH(X258,'玩法产出(新)'!$B$19:$B$25,0),4)*(1-V258)+OFFSET('玩法产出(新)'!$C$18,1+MATCH(X258,'玩法产出(新)'!$B$19:$B$25,0),4)*(V258))^AC258*(1+OFFSET('玩法产出(新)'!$C$18,MATCH(X258,'玩法产出(新)'!$B$19:$B$25,0),5)*(1+V258)+OFFSET('玩法产出(新)'!$C$18,1+MATCH(X258,'玩法产出(新)'!$B$19:$B$25,5),1)*(V258))^AD258*(1+OFFSET('玩法产出(新)'!$C$18,MATCH(X258,'玩法产出(新)'!$B$19:$B$25,0),6)*(1+V258)+OFFSET('玩法产出(新)'!$C$18,1+MATCH(X258,'玩法产出(新)'!$B$19:$B$25,0),6)*(V258))^AE258</f>
        <v>18.2213126051915</v>
      </c>
      <c r="U258" s="226">
        <f ca="1" t="shared" si="115"/>
        <v>0.134268766564273</v>
      </c>
      <c r="V258" s="226">
        <f ca="1">COUNTIF($X$124:$X258,X258)/(COUNTIF($X$124:$X$723,X258)+1)</f>
        <v>0.0391752577319588</v>
      </c>
      <c r="W258" s="19">
        <v>30</v>
      </c>
      <c r="X258" s="19" t="s">
        <v>326</v>
      </c>
      <c r="Y258" s="19">
        <f t="shared" si="83"/>
        <v>14660</v>
      </c>
      <c r="Z258" s="19">
        <f ca="1" t="shared" si="97"/>
        <v>1.93880412371134</v>
      </c>
      <c r="AA258" s="282">
        <f ca="1" t="shared" si="98"/>
        <v>14.907796875</v>
      </c>
      <c r="AB258" s="282">
        <f ca="1" t="shared" si="99"/>
        <v>11.2265625</v>
      </c>
      <c r="AC258" s="282">
        <f ca="1" t="shared" si="100"/>
        <v>2.94525</v>
      </c>
      <c r="AD258" s="282">
        <f ca="1" t="shared" si="101"/>
        <v>0.7363125</v>
      </c>
      <c r="AE258" s="282">
        <f ca="1" t="shared" si="102"/>
        <v>0.184078125</v>
      </c>
      <c r="AF258" s="19" t="str">
        <f t="shared" si="103"/>
        <v>粉1</v>
      </c>
      <c r="AG258" s="19">
        <f>IFERROR(_xlfn.XLOOKUP(C258+1,[2]基因升级!$E$141:$E$500,[2]基因升级!$D$141:$D$500)-1,AG257)</f>
        <v>79</v>
      </c>
      <c r="AH258" s="19">
        <v>6</v>
      </c>
      <c r="AI258" s="19">
        <f t="shared" si="104"/>
        <v>8.01559450356522</v>
      </c>
      <c r="AJ258" s="19">
        <f t="shared" si="116"/>
        <v>0</v>
      </c>
      <c r="AK258" s="269">
        <v>1.72</v>
      </c>
      <c r="AL258" s="287">
        <f t="shared" si="87"/>
        <v>7.04</v>
      </c>
      <c r="AM258" s="286"/>
      <c r="AQ258" s="19">
        <f t="shared" si="105"/>
        <v>1.61013316258406</v>
      </c>
      <c r="AR258" s="19">
        <f t="shared" si="106"/>
        <v>1</v>
      </c>
      <c r="AS258" s="19">
        <f t="shared" si="107"/>
        <v>1</v>
      </c>
      <c r="AT258" s="19">
        <f t="shared" si="108"/>
        <v>1</v>
      </c>
      <c r="AU258" s="19">
        <f t="shared" si="109"/>
        <v>1</v>
      </c>
      <c r="AV258" s="232">
        <f t="shared" si="89"/>
        <v>0.04</v>
      </c>
      <c r="AW258" s="232">
        <f t="shared" si="90"/>
        <v>0</v>
      </c>
      <c r="AX258" s="232">
        <f t="shared" si="91"/>
        <v>0</v>
      </c>
      <c r="AY258" s="232">
        <f t="shared" si="92"/>
        <v>0</v>
      </c>
      <c r="AZ258" s="232">
        <f t="shared" si="93"/>
        <v>0</v>
      </c>
    </row>
    <row r="259" spans="1:52">
      <c r="A259" s="269"/>
      <c r="C259" s="19">
        <v>136</v>
      </c>
      <c r="D259" s="86">
        <f ca="1" t="shared" si="117"/>
        <v>144.359304966632</v>
      </c>
      <c r="E259" s="251">
        <f ca="1" t="shared" si="94"/>
        <v>0.413420300444003</v>
      </c>
      <c r="F259" s="269">
        <f ca="1" t="shared" si="110"/>
        <v>240.262441902895</v>
      </c>
      <c r="G259" s="283">
        <f ca="1" t="shared" si="111"/>
        <v>99.3293709169045</v>
      </c>
      <c r="H259" s="279">
        <f ca="1" t="shared" si="112"/>
        <v>0.278944945667334</v>
      </c>
      <c r="I259" s="269">
        <f ca="1">SUM($J$125:J259)/SUM($H$125:H259)</f>
        <v>0.609111404110739</v>
      </c>
      <c r="J259" s="284">
        <f t="shared" si="118"/>
        <v>0.145187684414608</v>
      </c>
      <c r="K259" s="19">
        <f t="shared" si="120"/>
        <v>14500</v>
      </c>
      <c r="L259" s="269">
        <f t="shared" si="113"/>
        <v>1.72499999999999</v>
      </c>
      <c r="M259" s="226">
        <f ca="1" t="shared" si="114"/>
        <v>14.652</v>
      </c>
      <c r="N259" s="280">
        <f ca="1" t="shared" si="119"/>
        <v>0.133757261252711</v>
      </c>
      <c r="O259" s="226">
        <f t="shared" si="86"/>
        <v>6.6</v>
      </c>
      <c r="P259" s="19">
        <f ca="1" t="shared" si="88"/>
        <v>13.2</v>
      </c>
      <c r="Q259" s="226">
        <f ca="1" t="shared" si="85"/>
        <v>2.22</v>
      </c>
      <c r="R259" s="269">
        <f ca="1" t="shared" si="95"/>
        <v>0.458087806047668</v>
      </c>
      <c r="S259" s="266">
        <f ca="1" t="shared" si="96"/>
        <v>43.035006132562</v>
      </c>
      <c r="T259" s="226">
        <f ca="1">(1+OFFSET('玩法产出(新)'!$C$18,MATCH(X259,'玩法产出(新)'!$B$19:$B$25,0),1)*(1-V259)+OFFSET('玩法产出(新)'!$C$18,1+MATCH(X259,'玩法产出(新)'!$B$19:$B$25,0),1)*(V259))^AA259*(1+OFFSET('玩法产出(新)'!$C$18,MATCH(X259,'玩法产出(新)'!$B$19:$B$25,0),3)*(1-V259)+OFFSET('玩法产出(新)'!$C$18,1+MATCH(X259,'玩法产出(新)'!$B$19:$B$25,0),3)*(V259))^AB259*(1+OFFSET('玩法产出(新)'!$C$18,MATCH(X259,'玩法产出(新)'!$B$19:$B$25,0),4)*(1-V259)+OFFSET('玩法产出(新)'!$C$18,1+MATCH(X259,'玩法产出(新)'!$B$19:$B$25,0),4)*(V259))^AC259*(1+OFFSET('玩法产出(新)'!$C$18,MATCH(X259,'玩法产出(新)'!$B$19:$B$25,0),5)*(1+V259)+OFFSET('玩法产出(新)'!$C$18,1+MATCH(X259,'玩法产出(新)'!$B$19:$B$25,5),1)*(V259))^AD259*(1+OFFSET('玩法产出(新)'!$C$18,MATCH(X259,'玩法产出(新)'!$B$19:$B$25,0),6)*(1+V259)+OFFSET('玩法产出(新)'!$C$18,1+MATCH(X259,'玩法产出(新)'!$B$19:$B$25,0),6)*(V259))^AE259</f>
        <v>18.387854258163</v>
      </c>
      <c r="U259" s="226">
        <f ca="1" t="shared" si="115"/>
        <v>0.134475354776684</v>
      </c>
      <c r="V259" s="226">
        <f ca="1">COUNTIF($X$124:$X259,X259)/(COUNTIF($X$124:$X$723,X259)+1)</f>
        <v>0.0412371134020619</v>
      </c>
      <c r="W259" s="19">
        <v>30</v>
      </c>
      <c r="X259" s="19" t="s">
        <v>326</v>
      </c>
      <c r="Y259" s="19">
        <f t="shared" ref="Y259:Y322" si="121">Y258+100</f>
        <v>14760</v>
      </c>
      <c r="Z259" s="19">
        <f ca="1" t="shared" si="97"/>
        <v>1.93979381443299</v>
      </c>
      <c r="AA259" s="282">
        <f ca="1" t="shared" si="98"/>
        <v>14.8080354166667</v>
      </c>
      <c r="AB259" s="282">
        <f ca="1" t="shared" si="99"/>
        <v>11.2989583333333</v>
      </c>
      <c r="AC259" s="282">
        <f ca="1" t="shared" si="100"/>
        <v>2.9661</v>
      </c>
      <c r="AD259" s="282">
        <f ca="1" t="shared" si="101"/>
        <v>0.741525</v>
      </c>
      <c r="AE259" s="282">
        <f ca="1" t="shared" si="102"/>
        <v>0.18538125</v>
      </c>
      <c r="AF259" s="19" t="str">
        <f t="shared" si="103"/>
        <v>粉1</v>
      </c>
      <c r="AG259" s="19">
        <f>IFERROR(_xlfn.XLOOKUP(C259+1,[2]基因升级!$E$141:$E$500,[2]基因升级!$D$141:$D$500)-1,AG258)</f>
        <v>79</v>
      </c>
      <c r="AH259" s="19">
        <v>6</v>
      </c>
      <c r="AI259" s="19">
        <f t="shared" si="104"/>
        <v>8.01559450356522</v>
      </c>
      <c r="AJ259" s="19">
        <f t="shared" si="116"/>
        <v>0</v>
      </c>
      <c r="AK259" s="269">
        <v>1.72</v>
      </c>
      <c r="AL259" s="287">
        <f t="shared" si="87"/>
        <v>7.08</v>
      </c>
      <c r="AM259" s="286"/>
      <c r="AQ259" s="19">
        <f t="shared" si="105"/>
        <v>1.61449664180865</v>
      </c>
      <c r="AR259" s="19">
        <f t="shared" si="106"/>
        <v>1</v>
      </c>
      <c r="AS259" s="19">
        <f t="shared" si="107"/>
        <v>1</v>
      </c>
      <c r="AT259" s="19">
        <f t="shared" si="108"/>
        <v>1</v>
      </c>
      <c r="AU259" s="19">
        <f t="shared" si="109"/>
        <v>1</v>
      </c>
      <c r="AV259" s="232">
        <f t="shared" si="89"/>
        <v>0.04</v>
      </c>
      <c r="AW259" s="232">
        <f t="shared" si="90"/>
        <v>0</v>
      </c>
      <c r="AX259" s="232">
        <f t="shared" si="91"/>
        <v>0</v>
      </c>
      <c r="AY259" s="232">
        <f t="shared" si="92"/>
        <v>0</v>
      </c>
      <c r="AZ259" s="232">
        <f t="shared" si="93"/>
        <v>0</v>
      </c>
    </row>
    <row r="260" spans="1:52">
      <c r="A260" s="269"/>
      <c r="C260" s="19">
        <v>137</v>
      </c>
      <c r="D260" s="86">
        <f ca="1" t="shared" si="117"/>
        <v>144.770904940859</v>
      </c>
      <c r="E260" s="251">
        <f ca="1" t="shared" si="94"/>
        <v>0.411599974227102</v>
      </c>
      <c r="F260" s="269">
        <f ca="1" t="shared" si="110"/>
        <v>241.997801984798</v>
      </c>
      <c r="G260" s="283">
        <f ca="1" t="shared" si="111"/>
        <v>99.6062890599581</v>
      </c>
      <c r="H260" s="279">
        <f ca="1" t="shared" si="112"/>
        <v>0.276918143053621</v>
      </c>
      <c r="I260" s="269">
        <f ca="1">SUM($J$125:J260)/SUM($H$125:H260)</f>
        <v>0.608840067304525</v>
      </c>
      <c r="J260" s="284">
        <f t="shared" si="118"/>
        <v>0.144360514648866</v>
      </c>
      <c r="K260" s="19">
        <f t="shared" si="120"/>
        <v>14600</v>
      </c>
      <c r="L260" s="269">
        <f t="shared" si="113"/>
        <v>1.72999999999999</v>
      </c>
      <c r="M260" s="226">
        <f ca="1" t="shared" si="114"/>
        <v>14.784</v>
      </c>
      <c r="N260" s="280">
        <f ca="1" t="shared" si="119"/>
        <v>0.132557628404768</v>
      </c>
      <c r="O260" s="226">
        <f t="shared" si="86"/>
        <v>6.6</v>
      </c>
      <c r="P260" s="19">
        <f ca="1" t="shared" si="88"/>
        <v>13.4</v>
      </c>
      <c r="Q260" s="226">
        <f ca="1" t="shared" si="85"/>
        <v>2.24</v>
      </c>
      <c r="R260" s="269">
        <f ca="1" t="shared" si="95"/>
        <v>0.459521432067534</v>
      </c>
      <c r="S260" s="266">
        <f ca="1" t="shared" si="96"/>
        <v>43.1696879637355</v>
      </c>
      <c r="T260" s="226">
        <f ca="1">(1+OFFSET('玩法产出(新)'!$C$18,MATCH(X260,'玩法产出(新)'!$B$19:$B$25,0),1)*(1-V260)+OFFSET('玩法产出(新)'!$C$18,1+MATCH(X260,'玩法产出(新)'!$B$19:$B$25,0),1)*(V260))^AA260*(1+OFFSET('玩法产出(新)'!$C$18,MATCH(X260,'玩法产出(新)'!$B$19:$B$25,0),3)*(1-V260)+OFFSET('玩法产出(新)'!$C$18,1+MATCH(X260,'玩法产出(新)'!$B$19:$B$25,0),3)*(V260))^AB260*(1+OFFSET('玩法产出(新)'!$C$18,MATCH(X260,'玩法产出(新)'!$B$19:$B$25,0),4)*(1-V260)+OFFSET('玩法产出(新)'!$C$18,1+MATCH(X260,'玩法产出(新)'!$B$19:$B$25,0),4)*(V260))^AC260*(1+OFFSET('玩法产出(新)'!$C$18,MATCH(X260,'玩法产出(新)'!$B$19:$B$25,0),5)*(1+V260)+OFFSET('玩法产出(新)'!$C$18,1+MATCH(X260,'玩法产出(新)'!$B$19:$B$25,5),1)*(V260))^AD260*(1+OFFSET('玩法产出(新)'!$C$18,MATCH(X260,'玩法产出(新)'!$B$19:$B$25,0),6)*(1+V260)+OFFSET('玩法产出(新)'!$C$18,1+MATCH(X260,'玩法产出(新)'!$B$19:$B$25,0),6)*(V260))^AE260</f>
        <v>18.5561773177739</v>
      </c>
      <c r="U260" s="226">
        <f ca="1" t="shared" si="115"/>
        <v>0.134681831173467</v>
      </c>
      <c r="V260" s="226">
        <f ca="1">COUNTIF($X$124:$X260,X260)/(COUNTIF($X$124:$X$723,X260)+1)</f>
        <v>0.0432989690721649</v>
      </c>
      <c r="W260" s="19">
        <v>30</v>
      </c>
      <c r="X260" s="19" t="s">
        <v>326</v>
      </c>
      <c r="Y260" s="19">
        <f t="shared" si="121"/>
        <v>14860</v>
      </c>
      <c r="Z260" s="19">
        <f ca="1" t="shared" si="97"/>
        <v>1.94078350515464</v>
      </c>
      <c r="AA260" s="282">
        <f ca="1" t="shared" si="98"/>
        <v>14.7082739583333</v>
      </c>
      <c r="AB260" s="282">
        <f ca="1" t="shared" si="99"/>
        <v>11.3713541666667</v>
      </c>
      <c r="AC260" s="282">
        <f ca="1" t="shared" si="100"/>
        <v>2.98695</v>
      </c>
      <c r="AD260" s="282">
        <f ca="1" t="shared" si="101"/>
        <v>0.7467375</v>
      </c>
      <c r="AE260" s="282">
        <f ca="1" t="shared" si="102"/>
        <v>0.186684375</v>
      </c>
      <c r="AF260" s="19" t="str">
        <f t="shared" si="103"/>
        <v>粉1</v>
      </c>
      <c r="AG260" s="19">
        <f>IFERROR(_xlfn.XLOOKUP(C260+1,[2]基因升级!$E$141:$E$500,[2]基因升级!$D$141:$D$500)-1,AG259)</f>
        <v>80</v>
      </c>
      <c r="AH260" s="19">
        <v>6</v>
      </c>
      <c r="AI260" s="19">
        <f t="shared" si="104"/>
        <v>8.01559450356522</v>
      </c>
      <c r="AJ260" s="19">
        <f t="shared" si="116"/>
        <v>0</v>
      </c>
      <c r="AK260" s="269">
        <v>1.72</v>
      </c>
      <c r="AL260" s="287">
        <f t="shared" si="87"/>
        <v>7.12</v>
      </c>
      <c r="AM260" s="286"/>
      <c r="AQ260" s="19">
        <f t="shared" si="105"/>
        <v>1.61887194611167</v>
      </c>
      <c r="AR260" s="19">
        <f t="shared" si="106"/>
        <v>1</v>
      </c>
      <c r="AS260" s="19">
        <f t="shared" si="107"/>
        <v>1</v>
      </c>
      <c r="AT260" s="19">
        <f t="shared" si="108"/>
        <v>1</v>
      </c>
      <c r="AU260" s="19">
        <f t="shared" si="109"/>
        <v>1</v>
      </c>
      <c r="AV260" s="232">
        <f t="shared" si="89"/>
        <v>0.04</v>
      </c>
      <c r="AW260" s="232">
        <f t="shared" si="90"/>
        <v>0</v>
      </c>
      <c r="AX260" s="232">
        <f t="shared" si="91"/>
        <v>0</v>
      </c>
      <c r="AY260" s="232">
        <f t="shared" si="92"/>
        <v>0</v>
      </c>
      <c r="AZ260" s="232">
        <f t="shared" si="93"/>
        <v>0</v>
      </c>
    </row>
    <row r="261" spans="1:52">
      <c r="A261" s="269"/>
      <c r="C261" s="19">
        <v>138</v>
      </c>
      <c r="D261" s="86">
        <f ca="1" t="shared" si="117"/>
        <v>145.180716118481</v>
      </c>
      <c r="E261" s="251">
        <f ca="1" t="shared" si="94"/>
        <v>0.409811177621883</v>
      </c>
      <c r="F261" s="269">
        <f ca="1" t="shared" si="110"/>
        <v>243.724957970334</v>
      </c>
      <c r="G261" s="283">
        <f ca="1" t="shared" si="111"/>
        <v>99.8812120416665</v>
      </c>
      <c r="H261" s="279">
        <f ca="1" t="shared" si="112"/>
        <v>0.2749229817084</v>
      </c>
      <c r="I261" s="269">
        <f ca="1">SUM($J$125:J261)/SUM($H$125:H261)</f>
        <v>0.60857482313141</v>
      </c>
      <c r="J261" s="284">
        <f t="shared" si="118"/>
        <v>0.143543658920315</v>
      </c>
      <c r="K261" s="19">
        <f t="shared" si="120"/>
        <v>14700</v>
      </c>
      <c r="L261" s="269">
        <f t="shared" si="113"/>
        <v>1.73499999999999</v>
      </c>
      <c r="M261" s="226">
        <f ca="1" t="shared" si="114"/>
        <v>14.916</v>
      </c>
      <c r="N261" s="280">
        <f ca="1" t="shared" si="119"/>
        <v>0.131379322788071</v>
      </c>
      <c r="O261" s="226">
        <f t="shared" si="86"/>
        <v>6.6</v>
      </c>
      <c r="P261" s="19">
        <f ca="1" t="shared" si="88"/>
        <v>13.6</v>
      </c>
      <c r="Q261" s="226">
        <f ca="1" t="shared" si="85"/>
        <v>2.26</v>
      </c>
      <c r="R261" s="269">
        <f ca="1" t="shared" si="95"/>
        <v>0.460957254744947</v>
      </c>
      <c r="S261" s="266">
        <f ca="1" t="shared" si="96"/>
        <v>43.304576159649</v>
      </c>
      <c r="T261" s="226">
        <f ca="1">(1+OFFSET('玩法产出(新)'!$C$18,MATCH(X261,'玩法产出(新)'!$B$19:$B$25,0),1)*(1-V261)+OFFSET('玩法产出(新)'!$C$18,1+MATCH(X261,'玩法产出(新)'!$B$19:$B$25,0),1)*(V261))^AA261*(1+OFFSET('玩法产出(新)'!$C$18,MATCH(X261,'玩法产出(新)'!$B$19:$B$25,0),3)*(1-V261)+OFFSET('玩法产出(新)'!$C$18,1+MATCH(X261,'玩法产出(新)'!$B$19:$B$25,0),3)*(V261))^AB261*(1+OFFSET('玩法产出(新)'!$C$18,MATCH(X261,'玩法产出(新)'!$B$19:$B$25,0),4)*(1-V261)+OFFSET('玩法产出(新)'!$C$18,1+MATCH(X261,'玩法产出(新)'!$B$19:$B$25,0),4)*(V261))^AC261*(1+OFFSET('玩法产出(新)'!$C$18,MATCH(X261,'玩法产出(新)'!$B$19:$B$25,0),5)*(1+V261)+OFFSET('玩法产出(新)'!$C$18,1+MATCH(X261,'玩法产出(新)'!$B$19:$B$25,5),1)*(V261))^AD261*(1+OFFSET('玩法产出(新)'!$C$18,MATCH(X261,'玩法产出(新)'!$B$19:$B$25,0),6)*(1+V261)+OFFSET('玩法产出(新)'!$C$18,1+MATCH(X261,'玩法产出(新)'!$B$19:$B$25,0),6)*(V261))^AE261</f>
        <v>18.7263026740899</v>
      </c>
      <c r="U261" s="226">
        <f ca="1" t="shared" si="115"/>
        <v>0.134888195913497</v>
      </c>
      <c r="V261" s="226">
        <f ca="1">COUNTIF($X$124:$X261,X261)/(COUNTIF($X$124:$X$723,X261)+1)</f>
        <v>0.045360824742268</v>
      </c>
      <c r="W261" s="19">
        <v>30</v>
      </c>
      <c r="X261" s="19" t="s">
        <v>326</v>
      </c>
      <c r="Y261" s="19">
        <f t="shared" si="121"/>
        <v>14960</v>
      </c>
      <c r="Z261" s="19">
        <f ca="1" t="shared" si="97"/>
        <v>1.94177319587629</v>
      </c>
      <c r="AA261" s="282">
        <f ca="1" t="shared" si="98"/>
        <v>14.6085125</v>
      </c>
      <c r="AB261" s="282">
        <f ca="1" t="shared" si="99"/>
        <v>11.44375</v>
      </c>
      <c r="AC261" s="282">
        <f ca="1" t="shared" si="100"/>
        <v>3.0078</v>
      </c>
      <c r="AD261" s="282">
        <f ca="1" t="shared" si="101"/>
        <v>0.75195</v>
      </c>
      <c r="AE261" s="282">
        <f ca="1" t="shared" si="102"/>
        <v>0.1879875</v>
      </c>
      <c r="AF261" s="19" t="str">
        <f t="shared" si="103"/>
        <v>粉1</v>
      </c>
      <c r="AG261" s="19">
        <f>IFERROR(_xlfn.XLOOKUP(C261+1,[2]基因升级!$E$141:$E$500,[2]基因升级!$D$141:$D$500)-1,AG260)</f>
        <v>80</v>
      </c>
      <c r="AH261" s="19">
        <v>6</v>
      </c>
      <c r="AI261" s="19">
        <f t="shared" si="104"/>
        <v>8.01559450356522</v>
      </c>
      <c r="AJ261" s="19">
        <f t="shared" si="116"/>
        <v>0</v>
      </c>
      <c r="AK261" s="269">
        <v>1.72</v>
      </c>
      <c r="AL261" s="287">
        <f t="shared" si="87"/>
        <v>7.16</v>
      </c>
      <c r="AM261" s="286"/>
      <c r="AQ261" s="19">
        <f t="shared" si="105"/>
        <v>1.62325910753922</v>
      </c>
      <c r="AR261" s="19">
        <f t="shared" si="106"/>
        <v>1</v>
      </c>
      <c r="AS261" s="19">
        <f t="shared" si="107"/>
        <v>1</v>
      </c>
      <c r="AT261" s="19">
        <f t="shared" si="108"/>
        <v>1</v>
      </c>
      <c r="AU261" s="19">
        <f t="shared" si="109"/>
        <v>1</v>
      </c>
      <c r="AV261" s="232">
        <f t="shared" si="89"/>
        <v>0.04</v>
      </c>
      <c r="AW261" s="232">
        <f t="shared" si="90"/>
        <v>0</v>
      </c>
      <c r="AX261" s="232">
        <f t="shared" si="91"/>
        <v>0</v>
      </c>
      <c r="AY261" s="232">
        <f t="shared" si="92"/>
        <v>0</v>
      </c>
      <c r="AZ261" s="232">
        <f t="shared" si="93"/>
        <v>0</v>
      </c>
    </row>
    <row r="262" spans="1:52">
      <c r="A262" s="269"/>
      <c r="C262" s="19">
        <v>139</v>
      </c>
      <c r="D262" s="86">
        <f ca="1" t="shared" si="117"/>
        <v>145.588769264148</v>
      </c>
      <c r="E262" s="251">
        <f ca="1" t="shared" si="94"/>
        <v>0.40805314566687</v>
      </c>
      <c r="F262" s="269">
        <f ca="1" t="shared" si="110"/>
        <v>245.44393739325</v>
      </c>
      <c r="G262" s="283">
        <f ca="1" t="shared" si="111"/>
        <v>100.154170738178</v>
      </c>
      <c r="H262" s="279">
        <f ca="1" t="shared" si="112"/>
        <v>0.27295869651158</v>
      </c>
      <c r="I262" s="269">
        <f ca="1">SUM($J$125:J262)/SUM($H$125:H262)</f>
        <v>0.608315502077029</v>
      </c>
      <c r="J262" s="284">
        <f t="shared" si="118"/>
        <v>0.142736915839095</v>
      </c>
      <c r="K262" s="19">
        <f t="shared" si="120"/>
        <v>14800</v>
      </c>
      <c r="L262" s="269">
        <f t="shared" si="113"/>
        <v>1.73999999999999</v>
      </c>
      <c r="M262" s="226">
        <f ca="1" t="shared" si="114"/>
        <v>15.048</v>
      </c>
      <c r="N262" s="280">
        <f ca="1" t="shared" si="119"/>
        <v>0.130221780672493</v>
      </c>
      <c r="O262" s="226">
        <f t="shared" si="86"/>
        <v>6.6</v>
      </c>
      <c r="P262" s="19">
        <f ca="1" t="shared" si="88"/>
        <v>13.8</v>
      </c>
      <c r="Q262" s="226">
        <f ca="1" t="shared" si="85"/>
        <v>2.28</v>
      </c>
      <c r="R262" s="269">
        <f ca="1" t="shared" si="95"/>
        <v>0.462395272893059</v>
      </c>
      <c r="S262" s="266">
        <f ca="1" t="shared" si="96"/>
        <v>43.4396706088042</v>
      </c>
      <c r="T262" s="226">
        <f ca="1">(1+OFFSET('玩法产出(新)'!$C$18,MATCH(X262,'玩法产出(新)'!$B$19:$B$25,0),1)*(1-V262)+OFFSET('玩法产出(新)'!$C$18,1+MATCH(X262,'玩法产出(新)'!$B$19:$B$25,0),1)*(V262))^AA262*(1+OFFSET('玩法产出(新)'!$C$18,MATCH(X262,'玩法产出(新)'!$B$19:$B$25,0),3)*(1-V262)+OFFSET('玩法产出(新)'!$C$18,1+MATCH(X262,'玩法产出(新)'!$B$19:$B$25,0),3)*(V262))^AB262*(1+OFFSET('玩法产出(新)'!$C$18,MATCH(X262,'玩法产出(新)'!$B$19:$B$25,0),4)*(1-V262)+OFFSET('玩法产出(新)'!$C$18,1+MATCH(X262,'玩法产出(新)'!$B$19:$B$25,0),4)*(V262))^AC262*(1+OFFSET('玩法产出(新)'!$C$18,MATCH(X262,'玩法产出(新)'!$B$19:$B$25,0),5)*(1+V262)+OFFSET('玩法产出(新)'!$C$18,1+MATCH(X262,'玩法产出(新)'!$B$19:$B$25,5),1)*(V262))^AD262*(1+OFFSET('玩法产出(新)'!$C$18,MATCH(X262,'玩法产出(新)'!$B$19:$B$25,0),6)*(1+V262)+OFFSET('玩法产出(新)'!$C$18,1+MATCH(X262,'玩法产出(新)'!$B$19:$B$25,0),6)*(V262))^AE262</f>
        <v>18.8982514807412</v>
      </c>
      <c r="U262" s="226">
        <f ca="1" t="shared" si="115"/>
        <v>0.135094449155283</v>
      </c>
      <c r="V262" s="226">
        <f ca="1">COUNTIF($X$124:$X262,X262)/(COUNTIF($X$124:$X$723,X262)+1)</f>
        <v>0.0474226804123711</v>
      </c>
      <c r="W262" s="19">
        <v>30</v>
      </c>
      <c r="X262" s="19" t="s">
        <v>326</v>
      </c>
      <c r="Y262" s="19">
        <f t="shared" si="121"/>
        <v>15060</v>
      </c>
      <c r="Z262" s="19">
        <f ca="1" t="shared" si="97"/>
        <v>1.94276288659794</v>
      </c>
      <c r="AA262" s="282">
        <f ca="1" t="shared" si="98"/>
        <v>14.5087510416667</v>
      </c>
      <c r="AB262" s="282">
        <f ca="1" t="shared" si="99"/>
        <v>11.5161458333333</v>
      </c>
      <c r="AC262" s="282">
        <f ca="1" t="shared" si="100"/>
        <v>3.02865</v>
      </c>
      <c r="AD262" s="282">
        <f ca="1" t="shared" si="101"/>
        <v>0.7571625</v>
      </c>
      <c r="AE262" s="282">
        <f ca="1" t="shared" si="102"/>
        <v>0.189290625</v>
      </c>
      <c r="AF262" s="19" t="str">
        <f t="shared" si="103"/>
        <v>粉1</v>
      </c>
      <c r="AG262" s="19">
        <f>IFERROR(_xlfn.XLOOKUP(C262+1,[2]基因升级!$E$141:$E$500,[2]基因升级!$D$141:$D$500)-1,AG261)</f>
        <v>80</v>
      </c>
      <c r="AH262" s="19">
        <v>6</v>
      </c>
      <c r="AI262" s="19">
        <f t="shared" si="104"/>
        <v>8.01559450356522</v>
      </c>
      <c r="AJ262" s="19">
        <f t="shared" si="116"/>
        <v>0</v>
      </c>
      <c r="AK262" s="269">
        <v>1.72</v>
      </c>
      <c r="AL262" s="287">
        <f t="shared" si="87"/>
        <v>7.2</v>
      </c>
      <c r="AM262" s="286"/>
      <c r="AQ262" s="19">
        <f t="shared" si="105"/>
        <v>1.62765815822426</v>
      </c>
      <c r="AR262" s="19">
        <f t="shared" si="106"/>
        <v>1</v>
      </c>
      <c r="AS262" s="19">
        <f t="shared" si="107"/>
        <v>1</v>
      </c>
      <c r="AT262" s="19">
        <f t="shared" si="108"/>
        <v>1</v>
      </c>
      <c r="AU262" s="19">
        <f t="shared" si="109"/>
        <v>1</v>
      </c>
      <c r="AV262" s="232">
        <f t="shared" si="89"/>
        <v>0.04</v>
      </c>
      <c r="AW262" s="232">
        <f t="shared" si="90"/>
        <v>0</v>
      </c>
      <c r="AX262" s="232">
        <f t="shared" si="91"/>
        <v>0</v>
      </c>
      <c r="AY262" s="232">
        <f t="shared" si="92"/>
        <v>0</v>
      </c>
      <c r="AZ262" s="232">
        <f t="shared" si="93"/>
        <v>0</v>
      </c>
    </row>
    <row r="263" spans="1:52">
      <c r="A263" s="269"/>
      <c r="C263" s="19">
        <v>140</v>
      </c>
      <c r="D263" s="86">
        <f ca="1" t="shared" si="117"/>
        <v>145.995094402571</v>
      </c>
      <c r="E263" s="251">
        <f ca="1" t="shared" si="94"/>
        <v>0.406325138423302</v>
      </c>
      <c r="F263" s="269">
        <f ca="1" t="shared" si="110"/>
        <v>247.154767916238</v>
      </c>
      <c r="G263" s="283">
        <f ca="1" t="shared" si="111"/>
        <v>100.425195285545</v>
      </c>
      <c r="H263" s="279">
        <f ca="1" t="shared" si="112"/>
        <v>0.271024547366608</v>
      </c>
      <c r="I263" s="269">
        <f ca="1">SUM($J$125:J263)/SUM($H$125:H263)</f>
        <v>0.608061940620074</v>
      </c>
      <c r="J263" s="284">
        <f t="shared" si="118"/>
        <v>0.141940089344438</v>
      </c>
      <c r="K263" s="19">
        <f t="shared" si="120"/>
        <v>14900</v>
      </c>
      <c r="L263" s="269">
        <f t="shared" si="113"/>
        <v>1.74499999999999</v>
      </c>
      <c r="M263" s="226">
        <f ca="1" t="shared" si="114"/>
        <v>15.18</v>
      </c>
      <c r="N263" s="280">
        <f ca="1" t="shared" si="119"/>
        <v>0.129084458022177</v>
      </c>
      <c r="O263" s="226">
        <f t="shared" si="86"/>
        <v>6.6</v>
      </c>
      <c r="P263" s="19">
        <f ca="1" t="shared" si="88"/>
        <v>14</v>
      </c>
      <c r="Q263" s="226">
        <f ca="1" t="shared" si="85"/>
        <v>2.3</v>
      </c>
      <c r="R263" s="269">
        <f ca="1" t="shared" si="95"/>
        <v>0.463835485326704</v>
      </c>
      <c r="S263" s="266">
        <f ca="1" t="shared" si="96"/>
        <v>43.5749711998609</v>
      </c>
      <c r="T263" s="226">
        <f ca="1">(1+OFFSET('玩法产出(新)'!$C$18,MATCH(X263,'玩法产出(新)'!$B$19:$B$25,0),1)*(1-V263)+OFFSET('玩法产出(新)'!$C$18,1+MATCH(X263,'玩法产出(新)'!$B$19:$B$25,0),1)*(V263))^AA263*(1+OFFSET('玩法产出(新)'!$C$18,MATCH(X263,'玩法产出(新)'!$B$19:$B$25,0),3)*(1-V263)+OFFSET('玩法产出(新)'!$C$18,1+MATCH(X263,'玩法产出(新)'!$B$19:$B$25,0),3)*(V263))^AB263*(1+OFFSET('玩法产出(新)'!$C$18,MATCH(X263,'玩法产出(新)'!$B$19:$B$25,0),4)*(1-V263)+OFFSET('玩法产出(新)'!$C$18,1+MATCH(X263,'玩法产出(新)'!$B$19:$B$25,0),4)*(V263))^AC263*(1+OFFSET('玩法产出(新)'!$C$18,MATCH(X263,'玩法产出(新)'!$B$19:$B$25,0),5)*(1+V263)+OFFSET('玩法产出(新)'!$C$18,1+MATCH(X263,'玩法产出(新)'!$B$19:$B$25,5),1)*(V263))^AD263*(1+OFFSET('玩法产出(新)'!$C$18,MATCH(X263,'玩法产出(新)'!$B$19:$B$25,0),6)*(1+V263)+OFFSET('玩法产出(新)'!$C$18,1+MATCH(X263,'玩法产出(新)'!$B$19:$B$25,0),6)*(V263))^AE263</f>
        <v>19.0720451584501</v>
      </c>
      <c r="U263" s="226">
        <f ca="1" t="shared" si="115"/>
        <v>0.135300591056687</v>
      </c>
      <c r="V263" s="226">
        <f ca="1">COUNTIF($X$124:$X263,X263)/(COUNTIF($X$124:$X$723,X263)+1)</f>
        <v>0.0494845360824742</v>
      </c>
      <c r="W263" s="19">
        <v>30</v>
      </c>
      <c r="X263" s="19" t="s">
        <v>326</v>
      </c>
      <c r="Y263" s="19">
        <f t="shared" si="121"/>
        <v>15160</v>
      </c>
      <c r="Z263" s="19">
        <f ca="1" t="shared" si="97"/>
        <v>1.94375257731959</v>
      </c>
      <c r="AA263" s="282">
        <f ca="1" t="shared" si="98"/>
        <v>14.4089895833333</v>
      </c>
      <c r="AB263" s="282">
        <f ca="1" t="shared" si="99"/>
        <v>11.5885416666667</v>
      </c>
      <c r="AC263" s="282">
        <f ca="1" t="shared" si="100"/>
        <v>3.0495</v>
      </c>
      <c r="AD263" s="282">
        <f ca="1" t="shared" si="101"/>
        <v>0.762375</v>
      </c>
      <c r="AE263" s="282">
        <f ca="1" t="shared" si="102"/>
        <v>0.19059375</v>
      </c>
      <c r="AF263" s="19" t="str">
        <f t="shared" si="103"/>
        <v>粉1</v>
      </c>
      <c r="AG263" s="19">
        <f>IFERROR(_xlfn.XLOOKUP(C263+1,[2]基因升级!$E$141:$E$500,[2]基因升级!$D$141:$D$500)-1,AG262)</f>
        <v>80</v>
      </c>
      <c r="AH263" s="19">
        <v>6</v>
      </c>
      <c r="AI263" s="19">
        <f t="shared" si="104"/>
        <v>8.01559450356522</v>
      </c>
      <c r="AJ263" s="19">
        <f t="shared" si="116"/>
        <v>0</v>
      </c>
      <c r="AK263" s="269">
        <v>1.72</v>
      </c>
      <c r="AL263" s="287">
        <f t="shared" si="87"/>
        <v>7.24</v>
      </c>
      <c r="AM263" s="286"/>
      <c r="AQ263" s="19">
        <f t="shared" si="105"/>
        <v>1.6320691303868</v>
      </c>
      <c r="AR263" s="19">
        <f t="shared" si="106"/>
        <v>1</v>
      </c>
      <c r="AS263" s="19">
        <f t="shared" si="107"/>
        <v>1</v>
      </c>
      <c r="AT263" s="19">
        <f t="shared" si="108"/>
        <v>1</v>
      </c>
      <c r="AU263" s="19">
        <f t="shared" si="109"/>
        <v>1</v>
      </c>
      <c r="AV263" s="232">
        <f t="shared" si="89"/>
        <v>0.04</v>
      </c>
      <c r="AW263" s="232">
        <f t="shared" si="90"/>
        <v>0</v>
      </c>
      <c r="AX263" s="232">
        <f t="shared" si="91"/>
        <v>0</v>
      </c>
      <c r="AY263" s="232">
        <f t="shared" si="92"/>
        <v>0</v>
      </c>
      <c r="AZ263" s="232">
        <f t="shared" si="93"/>
        <v>0</v>
      </c>
    </row>
    <row r="264" spans="1:52">
      <c r="A264" s="269"/>
      <c r="C264" s="19">
        <v>141</v>
      </c>
      <c r="D264" s="86">
        <f ca="1" t="shared" si="117"/>
        <v>146.399720842517</v>
      </c>
      <c r="E264" s="251">
        <f ca="1" t="shared" si="94"/>
        <v>0.404626439946237</v>
      </c>
      <c r="F264" s="269">
        <f ca="1" t="shared" si="110"/>
        <v>248.857477324257</v>
      </c>
      <c r="G264" s="283">
        <f ca="1" t="shared" si="111"/>
        <v>100.694315103715</v>
      </c>
      <c r="H264" s="279">
        <f ca="1" t="shared" si="112"/>
        <v>0.269119818170623</v>
      </c>
      <c r="I264" s="269">
        <f ca="1">SUM($J$125:J264)/SUM($H$125:H264)</f>
        <v>0.60781398097296</v>
      </c>
      <c r="J264" s="284">
        <f t="shared" si="118"/>
        <v>0.141152988527764</v>
      </c>
      <c r="K264" s="19">
        <f t="shared" si="120"/>
        <v>15000</v>
      </c>
      <c r="L264" s="269">
        <f t="shared" si="113"/>
        <v>1.74999999999999</v>
      </c>
      <c r="M264" s="226">
        <f ca="1" t="shared" si="114"/>
        <v>15.312</v>
      </c>
      <c r="N264" s="280">
        <f ca="1" t="shared" si="119"/>
        <v>0.127966829642844</v>
      </c>
      <c r="O264" s="226">
        <f t="shared" si="86"/>
        <v>6.6</v>
      </c>
      <c r="P264" s="19">
        <f ca="1" t="shared" si="88"/>
        <v>14.2</v>
      </c>
      <c r="Q264" s="226">
        <f ca="1" t="shared" si="85"/>
        <v>2.32</v>
      </c>
      <c r="R264" s="269">
        <f ca="1" t="shared" si="95"/>
        <v>0.465277890862396</v>
      </c>
      <c r="S264" s="266">
        <f ca="1" t="shared" si="96"/>
        <v>43.7104778216366</v>
      </c>
      <c r="T264" s="226">
        <f ca="1">(1+OFFSET('玩法产出(新)'!$C$18,MATCH(X264,'玩法产出(新)'!$B$19:$B$25,0),1)*(1-V264)+OFFSET('玩法产出(新)'!$C$18,1+MATCH(X264,'玩法产出(新)'!$B$19:$B$25,0),1)*(V264))^AA264*(1+OFFSET('玩法产出(新)'!$C$18,MATCH(X264,'玩法产出(新)'!$B$19:$B$25,0),3)*(1-V264)+OFFSET('玩法产出(新)'!$C$18,1+MATCH(X264,'玩法产出(新)'!$B$19:$B$25,0),3)*(V264))^AB264*(1+OFFSET('玩法产出(新)'!$C$18,MATCH(X264,'玩法产出(新)'!$B$19:$B$25,0),4)*(1-V264)+OFFSET('玩法产出(新)'!$C$18,1+MATCH(X264,'玩法产出(新)'!$B$19:$B$25,0),4)*(V264))^AC264*(1+OFFSET('玩法产出(新)'!$C$18,MATCH(X264,'玩法产出(新)'!$B$19:$B$25,0),5)*(1+V264)+OFFSET('玩法产出(新)'!$C$18,1+MATCH(X264,'玩法产出(新)'!$B$19:$B$25,5),1)*(V264))^AD264*(1+OFFSET('玩法产出(新)'!$C$18,MATCH(X264,'玩法产出(新)'!$B$19:$B$25,0),6)*(1+V264)+OFFSET('玩法产出(新)'!$C$18,1+MATCH(X264,'玩法产出(新)'!$B$19:$B$25,0),6)*(V264))^AE264</f>
        <v>19.247705398608</v>
      </c>
      <c r="U264" s="226">
        <f ca="1" t="shared" si="115"/>
        <v>0.135506621775628</v>
      </c>
      <c r="V264" s="226">
        <f ca="1">COUNTIF($X$124:$X264,X264)/(COUNTIF($X$124:$X$723,X264)+1)</f>
        <v>0.0515463917525773</v>
      </c>
      <c r="W264" s="19">
        <v>30</v>
      </c>
      <c r="X264" s="19" t="s">
        <v>326</v>
      </c>
      <c r="Y264" s="19">
        <f t="shared" si="121"/>
        <v>15260</v>
      </c>
      <c r="Z264" s="19">
        <f ca="1" t="shared" si="97"/>
        <v>1.94474226804124</v>
      </c>
      <c r="AA264" s="282">
        <f ca="1" t="shared" si="98"/>
        <v>14.309228125</v>
      </c>
      <c r="AB264" s="282">
        <f ca="1" t="shared" si="99"/>
        <v>11.6609375</v>
      </c>
      <c r="AC264" s="282">
        <f ca="1" t="shared" si="100"/>
        <v>3.07035</v>
      </c>
      <c r="AD264" s="282">
        <f ca="1" t="shared" si="101"/>
        <v>0.7675875</v>
      </c>
      <c r="AE264" s="282">
        <f ca="1" t="shared" si="102"/>
        <v>0.191896875</v>
      </c>
      <c r="AF264" s="19" t="str">
        <f t="shared" si="103"/>
        <v>粉1</v>
      </c>
      <c r="AG264" s="19">
        <f>IFERROR(_xlfn.XLOOKUP(C264+1,[2]基因升级!$E$141:$E$500,[2]基因升级!$D$141:$D$500)-1,AG263)</f>
        <v>80</v>
      </c>
      <c r="AH264" s="19">
        <v>6</v>
      </c>
      <c r="AI264" s="19">
        <f t="shared" si="104"/>
        <v>8.01559450356522</v>
      </c>
      <c r="AJ264" s="19">
        <f t="shared" si="116"/>
        <v>0</v>
      </c>
      <c r="AK264" s="269">
        <v>1.72</v>
      </c>
      <c r="AL264" s="287">
        <f t="shared" si="87"/>
        <v>7.28</v>
      </c>
      <c r="AM264" s="286"/>
      <c r="AQ264" s="19">
        <f t="shared" si="105"/>
        <v>1.63649205633417</v>
      </c>
      <c r="AR264" s="19">
        <f t="shared" si="106"/>
        <v>1</v>
      </c>
      <c r="AS264" s="19">
        <f t="shared" si="107"/>
        <v>1</v>
      </c>
      <c r="AT264" s="19">
        <f t="shared" si="108"/>
        <v>1</v>
      </c>
      <c r="AU264" s="19">
        <f t="shared" si="109"/>
        <v>1</v>
      </c>
      <c r="AV264" s="232">
        <f t="shared" si="89"/>
        <v>0.04</v>
      </c>
      <c r="AW264" s="232">
        <f t="shared" si="90"/>
        <v>0</v>
      </c>
      <c r="AX264" s="232">
        <f t="shared" si="91"/>
        <v>0</v>
      </c>
      <c r="AY264" s="232">
        <f t="shared" si="92"/>
        <v>0</v>
      </c>
      <c r="AZ264" s="232">
        <f t="shared" si="93"/>
        <v>0</v>
      </c>
    </row>
    <row r="265" spans="1:52">
      <c r="A265" s="269"/>
      <c r="C265" s="19">
        <v>142</v>
      </c>
      <c r="D265" s="86">
        <f ca="1" t="shared" si="117"/>
        <v>146.802677199823</v>
      </c>
      <c r="E265" s="251">
        <f ca="1" t="shared" si="94"/>
        <v>0.402956357305443</v>
      </c>
      <c r="F265" s="269">
        <f ca="1" t="shared" si="110"/>
        <v>250.552093518709</v>
      </c>
      <c r="G265" s="283">
        <f ca="1" t="shared" si="111"/>
        <v>100.961558919552</v>
      </c>
      <c r="H265" s="279">
        <f ca="1" t="shared" si="112"/>
        <v>0.267243815836252</v>
      </c>
      <c r="I265" s="269">
        <f ca="1">SUM($J$125:J265)/SUM($H$125:H265)</f>
        <v>0.607571470835788</v>
      </c>
      <c r="J265" s="284">
        <f t="shared" si="118"/>
        <v>0.140375427462914</v>
      </c>
      <c r="K265" s="19">
        <f t="shared" si="120"/>
        <v>15100</v>
      </c>
      <c r="L265" s="269">
        <f t="shared" si="113"/>
        <v>1.75499999999999</v>
      </c>
      <c r="M265" s="226">
        <f ca="1" t="shared" si="114"/>
        <v>15.444</v>
      </c>
      <c r="N265" s="280">
        <f ca="1" t="shared" si="119"/>
        <v>0.126868388373353</v>
      </c>
      <c r="O265" s="226">
        <f t="shared" si="86"/>
        <v>6.6</v>
      </c>
      <c r="P265" s="19">
        <f ca="1" t="shared" si="88"/>
        <v>14.4</v>
      </c>
      <c r="Q265" s="226">
        <f ca="1" t="shared" ref="Q265:Q328" si="122">_xlfn.XLOOKUP(O265,$D$76:$D$95,$E$76:$E$95)*(P265-1)+1</f>
        <v>2.34</v>
      </c>
      <c r="R265" s="269">
        <f ca="1" t="shared" si="95"/>
        <v>0.46672248831832</v>
      </c>
      <c r="S265" s="266">
        <f ca="1" t="shared" si="96"/>
        <v>43.8461903631057</v>
      </c>
      <c r="T265" s="226">
        <f ca="1">(1+OFFSET('玩法产出(新)'!$C$18,MATCH(X265,'玩法产出(新)'!$B$19:$B$25,0),1)*(1-V265)+OFFSET('玩法产出(新)'!$C$18,1+MATCH(X265,'玩法产出(新)'!$B$19:$B$25,0),1)*(V265))^AA265*(1+OFFSET('玩法产出(新)'!$C$18,MATCH(X265,'玩法产出(新)'!$B$19:$B$25,0),3)*(1-V265)+OFFSET('玩法产出(新)'!$C$18,1+MATCH(X265,'玩法产出(新)'!$B$19:$B$25,0),3)*(V265))^AB265*(1+OFFSET('玩法产出(新)'!$C$18,MATCH(X265,'玩法产出(新)'!$B$19:$B$25,0),4)*(1-V265)+OFFSET('玩法产出(新)'!$C$18,1+MATCH(X265,'玩法产出(新)'!$B$19:$B$25,0),4)*(V265))^AC265*(1+OFFSET('玩法产出(新)'!$C$18,MATCH(X265,'玩法产出(新)'!$B$19:$B$25,0),5)*(1+V265)+OFFSET('玩法产出(新)'!$C$18,1+MATCH(X265,'玩法产出(新)'!$B$19:$B$25,5),1)*(V265))^AD265*(1+OFFSET('玩法产出(新)'!$C$18,MATCH(X265,'玩法产出(新)'!$B$19:$B$25,0),6)*(1+V265)+OFFSET('玩法产出(新)'!$C$18,1+MATCH(X265,'玩法产出(新)'!$B$19:$B$25,0),6)*(V265))^AE265</f>
        <v>19.4252541669026</v>
      </c>
      <c r="U265" s="226">
        <f ca="1" t="shared" si="115"/>
        <v>0.135712541469176</v>
      </c>
      <c r="V265" s="226">
        <f ca="1">COUNTIF($X$124:$X265,X265)/(COUNTIF($X$124:$X$723,X265)+1)</f>
        <v>0.0536082474226804</v>
      </c>
      <c r="W265" s="19">
        <v>30</v>
      </c>
      <c r="X265" s="19" t="s">
        <v>326</v>
      </c>
      <c r="Y265" s="19">
        <f t="shared" si="121"/>
        <v>15360</v>
      </c>
      <c r="Z265" s="19">
        <f ca="1" t="shared" si="97"/>
        <v>1.94573195876289</v>
      </c>
      <c r="AA265" s="282">
        <f ca="1" t="shared" si="98"/>
        <v>14.2094666666667</v>
      </c>
      <c r="AB265" s="282">
        <f ca="1" t="shared" si="99"/>
        <v>11.7333333333333</v>
      </c>
      <c r="AC265" s="282">
        <f ca="1" t="shared" si="100"/>
        <v>3.0912</v>
      </c>
      <c r="AD265" s="282">
        <f ca="1" t="shared" si="101"/>
        <v>0.7728</v>
      </c>
      <c r="AE265" s="282">
        <f ca="1" t="shared" si="102"/>
        <v>0.1932</v>
      </c>
      <c r="AF265" s="19" t="str">
        <f t="shared" si="103"/>
        <v>粉1</v>
      </c>
      <c r="AG265" s="19">
        <f>IFERROR(_xlfn.XLOOKUP(C265+1,[2]基因升级!$E$141:$E$500,[2]基因升级!$D$141:$D$500)-1,AG264)</f>
        <v>80</v>
      </c>
      <c r="AH265" s="19">
        <v>6</v>
      </c>
      <c r="AI265" s="19">
        <f t="shared" si="104"/>
        <v>8.01559450356522</v>
      </c>
      <c r="AJ265" s="19">
        <f t="shared" si="116"/>
        <v>0</v>
      </c>
      <c r="AK265" s="269">
        <v>1.72</v>
      </c>
      <c r="AL265" s="287">
        <f t="shared" si="87"/>
        <v>7.32</v>
      </c>
      <c r="AM265" s="286"/>
      <c r="AQ265" s="19">
        <f t="shared" si="105"/>
        <v>1.64092696846129</v>
      </c>
      <c r="AR265" s="19">
        <f t="shared" si="106"/>
        <v>1</v>
      </c>
      <c r="AS265" s="19">
        <f t="shared" si="107"/>
        <v>1</v>
      </c>
      <c r="AT265" s="19">
        <f t="shared" si="108"/>
        <v>1</v>
      </c>
      <c r="AU265" s="19">
        <f t="shared" si="109"/>
        <v>1</v>
      </c>
      <c r="AV265" s="232">
        <f t="shared" si="89"/>
        <v>0.04</v>
      </c>
      <c r="AW265" s="232">
        <f t="shared" si="90"/>
        <v>0</v>
      </c>
      <c r="AX265" s="232">
        <f t="shared" si="91"/>
        <v>0</v>
      </c>
      <c r="AY265" s="232">
        <f t="shared" si="92"/>
        <v>0</v>
      </c>
      <c r="AZ265" s="232">
        <f t="shared" si="93"/>
        <v>0</v>
      </c>
    </row>
    <row r="266" spans="1:52">
      <c r="A266" s="269"/>
      <c r="C266" s="19">
        <v>143</v>
      </c>
      <c r="D266" s="86">
        <f ca="1" t="shared" si="117"/>
        <v>147.203991419478</v>
      </c>
      <c r="E266" s="251">
        <f ca="1" t="shared" si="94"/>
        <v>0.401314219655295</v>
      </c>
      <c r="F266" s="269">
        <f ca="1" t="shared" si="110"/>
        <v>252.238644511177</v>
      </c>
      <c r="G266" s="283">
        <f ca="1" t="shared" si="111"/>
        <v>101.226954788912</v>
      </c>
      <c r="H266" s="279">
        <f ca="1" t="shared" si="112"/>
        <v>0.26539586936083</v>
      </c>
      <c r="I266" s="269">
        <f ca="1">SUM($J$125:J266)/SUM($H$125:H266)</f>
        <v>0.607334263162809</v>
      </c>
      <c r="J266" s="284">
        <f t="shared" si="118"/>
        <v>0.139607225042916</v>
      </c>
      <c r="K266" s="19">
        <f t="shared" si="120"/>
        <v>15200</v>
      </c>
      <c r="L266" s="269">
        <f t="shared" si="113"/>
        <v>1.75999999999998</v>
      </c>
      <c r="M266" s="226">
        <f ca="1" t="shared" si="114"/>
        <v>15.576</v>
      </c>
      <c r="N266" s="280">
        <f ca="1" t="shared" si="119"/>
        <v>0.125788644317993</v>
      </c>
      <c r="O266" s="226">
        <f t="shared" ref="O266:O329" si="123">IF(MOD(C266,60)=0,_xlfn.XLOOKUP(_xlfn.XLOOKUP(O265,$D$76:$D$95,$C$76:$C$95)+1,$C$76:$C$95,$D$76:$D$95),O265)</f>
        <v>6.6</v>
      </c>
      <c r="P266" s="19">
        <f ca="1" t="shared" si="88"/>
        <v>14.6</v>
      </c>
      <c r="Q266" s="226">
        <f ca="1" t="shared" si="122"/>
        <v>2.36</v>
      </c>
      <c r="R266" s="269">
        <f ca="1" t="shared" si="95"/>
        <v>0.468169276514334</v>
      </c>
      <c r="S266" s="266">
        <f ca="1" t="shared" si="96"/>
        <v>43.9821087134001</v>
      </c>
      <c r="T266" s="226">
        <f ca="1">(1+OFFSET('玩法产出(新)'!$C$18,MATCH(X266,'玩法产出(新)'!$B$19:$B$25,0),1)*(1-V266)+OFFSET('玩法产出(新)'!$C$18,1+MATCH(X266,'玩法产出(新)'!$B$19:$B$25,0),1)*(V266))^AA266*(1+OFFSET('玩法产出(新)'!$C$18,MATCH(X266,'玩法产出(新)'!$B$19:$B$25,0),3)*(1-V266)+OFFSET('玩法产出(新)'!$C$18,1+MATCH(X266,'玩法产出(新)'!$B$19:$B$25,0),3)*(V266))^AB266*(1+OFFSET('玩法产出(新)'!$C$18,MATCH(X266,'玩法产出(新)'!$B$19:$B$25,0),4)*(1-V266)+OFFSET('玩法产出(新)'!$C$18,1+MATCH(X266,'玩法产出(新)'!$B$19:$B$25,0),4)*(V266))^AC266*(1+OFFSET('玩法产出(新)'!$C$18,MATCH(X266,'玩法产出(新)'!$B$19:$B$25,0),5)*(1+V266)+OFFSET('玩法产出(新)'!$C$18,1+MATCH(X266,'玩法产出(新)'!$B$19:$B$25,5),1)*(V266))^AD266*(1+OFFSET('玩法产出(新)'!$C$18,MATCH(X266,'玩法产出(新)'!$B$19:$B$25,0),6)*(1+V266)+OFFSET('玩法产出(新)'!$C$18,1+MATCH(X266,'玩法产出(新)'!$B$19:$B$25,0),6)*(V266))^AE266</f>
        <v>19.6047137069965</v>
      </c>
      <c r="U266" s="226">
        <f ca="1" t="shared" si="115"/>
        <v>0.135918350294386</v>
      </c>
      <c r="V266" s="226">
        <f ca="1">COUNTIF($X$124:$X266,X266)/(COUNTIF($X$124:$X$723,X266)+1)</f>
        <v>0.0556701030927835</v>
      </c>
      <c r="W266" s="19">
        <v>30</v>
      </c>
      <c r="X266" s="19" t="s">
        <v>326</v>
      </c>
      <c r="Y266" s="19">
        <f t="shared" si="121"/>
        <v>15460</v>
      </c>
      <c r="Z266" s="19">
        <f ca="1" t="shared" si="97"/>
        <v>1.94672164948454</v>
      </c>
      <c r="AA266" s="282">
        <f ca="1" t="shared" si="98"/>
        <v>14.1097052083333</v>
      </c>
      <c r="AB266" s="282">
        <f ca="1" t="shared" si="99"/>
        <v>11.8057291666667</v>
      </c>
      <c r="AC266" s="282">
        <f ca="1" t="shared" si="100"/>
        <v>3.11205</v>
      </c>
      <c r="AD266" s="282">
        <f ca="1" t="shared" si="101"/>
        <v>0.7780125</v>
      </c>
      <c r="AE266" s="282">
        <f ca="1" t="shared" si="102"/>
        <v>0.194503125</v>
      </c>
      <c r="AF266" s="19" t="str">
        <f t="shared" si="103"/>
        <v>粉1</v>
      </c>
      <c r="AG266" s="19">
        <f>IFERROR(_xlfn.XLOOKUP(C266+1,[2]基因升级!$E$141:$E$500,[2]基因升级!$D$141:$D$500)-1,AG265)</f>
        <v>81</v>
      </c>
      <c r="AH266" s="19">
        <v>6</v>
      </c>
      <c r="AI266" s="19">
        <f t="shared" si="104"/>
        <v>8.01559450356522</v>
      </c>
      <c r="AJ266" s="19">
        <f t="shared" si="116"/>
        <v>0</v>
      </c>
      <c r="AK266" s="269">
        <v>1.72</v>
      </c>
      <c r="AL266" s="287">
        <f t="shared" si="87"/>
        <v>7.36</v>
      </c>
      <c r="AM266" s="286"/>
      <c r="AQ266" s="19">
        <f t="shared" si="105"/>
        <v>1.64537389925082</v>
      </c>
      <c r="AR266" s="19">
        <f t="shared" si="106"/>
        <v>1</v>
      </c>
      <c r="AS266" s="19">
        <f t="shared" si="107"/>
        <v>1</v>
      </c>
      <c r="AT266" s="19">
        <f t="shared" si="108"/>
        <v>1</v>
      </c>
      <c r="AU266" s="19">
        <f t="shared" si="109"/>
        <v>1</v>
      </c>
      <c r="AV266" s="232">
        <f t="shared" si="89"/>
        <v>0.04</v>
      </c>
      <c r="AW266" s="232">
        <f t="shared" si="90"/>
        <v>0</v>
      </c>
      <c r="AX266" s="232">
        <f t="shared" si="91"/>
        <v>0</v>
      </c>
      <c r="AY266" s="232">
        <f t="shared" si="92"/>
        <v>0</v>
      </c>
      <c r="AZ266" s="232">
        <f t="shared" si="93"/>
        <v>0</v>
      </c>
    </row>
    <row r="267" spans="1:52">
      <c r="A267" s="269"/>
      <c r="C267" s="19">
        <v>144</v>
      </c>
      <c r="D267" s="86">
        <f ca="1" t="shared" si="117"/>
        <v>147.603690796827</v>
      </c>
      <c r="E267" s="251">
        <f ca="1" t="shared" si="94"/>
        <v>0.399699377349489</v>
      </c>
      <c r="F267" s="269">
        <f ca="1" t="shared" si="110"/>
        <v>253.917158417569</v>
      </c>
      <c r="G267" s="283">
        <f ca="1" t="shared" si="111"/>
        <v>101.490530117854</v>
      </c>
      <c r="H267" s="279">
        <f ca="1" t="shared" si="112"/>
        <v>0.263575328941513</v>
      </c>
      <c r="I267" s="269">
        <f ca="1">SUM($J$125:J267)/SUM($H$125:H267)</f>
        <v>0.607102215940655</v>
      </c>
      <c r="J267" s="284">
        <f t="shared" si="118"/>
        <v>0.138848204823283</v>
      </c>
      <c r="K267" s="19">
        <f t="shared" si="120"/>
        <v>15300</v>
      </c>
      <c r="L267" s="269">
        <f t="shared" si="113"/>
        <v>1.76499999999998</v>
      </c>
      <c r="M267" s="226">
        <f ca="1" t="shared" si="114"/>
        <v>15.708</v>
      </c>
      <c r="N267" s="280">
        <f ca="1" t="shared" si="119"/>
        <v>0.124727124118209</v>
      </c>
      <c r="O267" s="226">
        <f t="shared" si="123"/>
        <v>6.6</v>
      </c>
      <c r="P267" s="19">
        <f ca="1" t="shared" si="88"/>
        <v>14.8</v>
      </c>
      <c r="Q267" s="226">
        <f ca="1" t="shared" si="122"/>
        <v>2.38</v>
      </c>
      <c r="R267" s="269">
        <f ca="1" t="shared" si="95"/>
        <v>0.469618254271964</v>
      </c>
      <c r="S267" s="266">
        <f ca="1" t="shared" si="96"/>
        <v>44.1182327618081</v>
      </c>
      <c r="T267" s="226">
        <f ca="1">(1+OFFSET('玩法产出(新)'!$C$18,MATCH(X267,'玩法产出(新)'!$B$19:$B$25,0),1)*(1-V267)+OFFSET('玩法产出(新)'!$C$18,1+MATCH(X267,'玩法产出(新)'!$B$19:$B$25,0),1)*(V267))^AA267*(1+OFFSET('玩法产出(新)'!$C$18,MATCH(X267,'玩法产出(新)'!$B$19:$B$25,0),3)*(1-V267)+OFFSET('玩法产出(新)'!$C$18,1+MATCH(X267,'玩法产出(新)'!$B$19:$B$25,0),3)*(V267))^AB267*(1+OFFSET('玩法产出(新)'!$C$18,MATCH(X267,'玩法产出(新)'!$B$19:$B$25,0),4)*(1-V267)+OFFSET('玩法产出(新)'!$C$18,1+MATCH(X267,'玩法产出(新)'!$B$19:$B$25,0),4)*(V267))^AC267*(1+OFFSET('玩法产出(新)'!$C$18,MATCH(X267,'玩法产出(新)'!$B$19:$B$25,0),5)*(1+V267)+OFFSET('玩法产出(新)'!$C$18,1+MATCH(X267,'玩法产出(新)'!$B$19:$B$25,5),1)*(V267))^AD267*(1+OFFSET('玩法产出(新)'!$C$18,MATCH(X267,'玩法产出(新)'!$B$19:$B$25,0),6)*(1+V267)+OFFSET('玩法产出(新)'!$C$18,1+MATCH(X267,'玩法产出(新)'!$B$19:$B$25,0),6)*(V267))^AE267</f>
        <v>19.786106544258</v>
      </c>
      <c r="U267" s="226">
        <f ca="1" t="shared" si="115"/>
        <v>0.136124048407997</v>
      </c>
      <c r="V267" s="226">
        <f ca="1">COUNTIF($X$124:$X267,X267)/(COUNTIF($X$124:$X$723,X267)+1)</f>
        <v>0.0577319587628866</v>
      </c>
      <c r="W267" s="19">
        <v>30</v>
      </c>
      <c r="X267" s="19" t="s">
        <v>326</v>
      </c>
      <c r="Y267" s="19">
        <f t="shared" si="121"/>
        <v>15560</v>
      </c>
      <c r="Z267" s="19">
        <f ca="1" t="shared" si="97"/>
        <v>1.94771134020619</v>
      </c>
      <c r="AA267" s="282">
        <f ca="1" t="shared" si="98"/>
        <v>14.00994375</v>
      </c>
      <c r="AB267" s="282">
        <f ca="1" t="shared" si="99"/>
        <v>11.878125</v>
      </c>
      <c r="AC267" s="282">
        <f ca="1" t="shared" si="100"/>
        <v>3.1329</v>
      </c>
      <c r="AD267" s="282">
        <f ca="1" t="shared" si="101"/>
        <v>0.783225</v>
      </c>
      <c r="AE267" s="282">
        <f ca="1" t="shared" si="102"/>
        <v>0.19580625</v>
      </c>
      <c r="AF267" s="19" t="str">
        <f t="shared" si="103"/>
        <v>粉1</v>
      </c>
      <c r="AG267" s="19">
        <f>IFERROR(_xlfn.XLOOKUP(C267+1,[2]基因升级!$E$141:$E$500,[2]基因升级!$D$141:$D$500)-1,AG266)</f>
        <v>81</v>
      </c>
      <c r="AH267" s="19">
        <v>6</v>
      </c>
      <c r="AI267" s="19">
        <f t="shared" si="104"/>
        <v>8.01559450356522</v>
      </c>
      <c r="AJ267" s="19">
        <f t="shared" si="116"/>
        <v>0</v>
      </c>
      <c r="AK267" s="269">
        <v>1.72</v>
      </c>
      <c r="AL267" s="287">
        <f t="shared" si="87"/>
        <v>7.4</v>
      </c>
      <c r="AM267" s="286"/>
      <c r="AQ267" s="19">
        <f t="shared" si="105"/>
        <v>1.64983288127348</v>
      </c>
      <c r="AR267" s="19">
        <f t="shared" si="106"/>
        <v>1</v>
      </c>
      <c r="AS267" s="19">
        <f t="shared" si="107"/>
        <v>1</v>
      </c>
      <c r="AT267" s="19">
        <f t="shared" si="108"/>
        <v>1</v>
      </c>
      <c r="AU267" s="19">
        <f t="shared" si="109"/>
        <v>1</v>
      </c>
      <c r="AV267" s="232">
        <f t="shared" si="89"/>
        <v>0.04</v>
      </c>
      <c r="AW267" s="232">
        <f t="shared" si="90"/>
        <v>0</v>
      </c>
      <c r="AX267" s="232">
        <f t="shared" si="91"/>
        <v>0</v>
      </c>
      <c r="AY267" s="232">
        <f t="shared" si="92"/>
        <v>0</v>
      </c>
      <c r="AZ267" s="232">
        <f t="shared" si="93"/>
        <v>0</v>
      </c>
    </row>
    <row r="268" spans="1:52">
      <c r="A268" s="269"/>
      <c r="C268" s="19">
        <v>145</v>
      </c>
      <c r="D268" s="86">
        <f ca="1" t="shared" si="117"/>
        <v>148.001801997925</v>
      </c>
      <c r="E268" s="251">
        <f ca="1" t="shared" si="94"/>
        <v>0.398111201097982</v>
      </c>
      <c r="F268" s="269">
        <f ca="1" t="shared" si="110"/>
        <v>255.587663452712</v>
      </c>
      <c r="G268" s="283">
        <f ca="1" t="shared" si="111"/>
        <v>101.752311682986</v>
      </c>
      <c r="H268" s="279">
        <f ca="1" t="shared" si="112"/>
        <v>0.261781565131955</v>
      </c>
      <c r="I268" s="269">
        <f ca="1">SUM($J$125:J268)/SUM($H$125:H268)</f>
        <v>0.606875191977655</v>
      </c>
      <c r="J268" s="284">
        <f t="shared" si="118"/>
        <v>0.138098194871382</v>
      </c>
      <c r="K268" s="19">
        <f t="shared" si="120"/>
        <v>15400</v>
      </c>
      <c r="L268" s="269">
        <f t="shared" si="113"/>
        <v>1.76999999999998</v>
      </c>
      <c r="M268" s="226">
        <f ca="1" t="shared" si="114"/>
        <v>15.84</v>
      </c>
      <c r="N268" s="280">
        <f ca="1" t="shared" si="119"/>
        <v>0.123683370260579</v>
      </c>
      <c r="O268" s="226">
        <f t="shared" si="123"/>
        <v>6.6</v>
      </c>
      <c r="P268" s="19">
        <f ca="1" t="shared" si="88"/>
        <v>15</v>
      </c>
      <c r="Q268" s="226">
        <f ca="1" t="shared" si="122"/>
        <v>2.4</v>
      </c>
      <c r="R268" s="269">
        <f ca="1" t="shared" si="95"/>
        <v>0.471069420414396</v>
      </c>
      <c r="S268" s="266">
        <f ca="1" t="shared" si="96"/>
        <v>44.2545623977741</v>
      </c>
      <c r="T268" s="226">
        <f ca="1">(1+OFFSET('玩法产出(新)'!$C$18,MATCH(X268,'玩法产出(新)'!$B$19:$B$25,0),1)*(1-V268)+OFFSET('玩法产出(新)'!$C$18,1+MATCH(X268,'玩法产出(新)'!$B$19:$B$25,0),1)*(V268))^AA268*(1+OFFSET('玩法产出(新)'!$C$18,MATCH(X268,'玩法产出(新)'!$B$19:$B$25,0),3)*(1-V268)+OFFSET('玩法产出(新)'!$C$18,1+MATCH(X268,'玩法产出(新)'!$B$19:$B$25,0),3)*(V268))^AB268*(1+OFFSET('玩法产出(新)'!$C$18,MATCH(X268,'玩法产出(新)'!$B$19:$B$25,0),4)*(1-V268)+OFFSET('玩法产出(新)'!$C$18,1+MATCH(X268,'玩法产出(新)'!$B$19:$B$25,0),4)*(V268))^AC268*(1+OFFSET('玩法产出(新)'!$C$18,MATCH(X268,'玩法产出(新)'!$B$19:$B$25,0),5)*(1+V268)+OFFSET('玩法产出(新)'!$C$18,1+MATCH(X268,'玩法产出(新)'!$B$19:$B$25,5),1)*(V268))^AD268*(1+OFFSET('玩法产出(新)'!$C$18,MATCH(X268,'玩法产出(新)'!$B$19:$B$25,0),6)*(1+V268)+OFFSET('玩法产出(新)'!$C$18,1+MATCH(X268,'玩法产出(新)'!$B$19:$B$25,0),6)*(V268))^AE268</f>
        <v>19.969455489543</v>
      </c>
      <c r="U268" s="226">
        <f ca="1" t="shared" si="115"/>
        <v>0.136329635966021</v>
      </c>
      <c r="V268" s="226">
        <f ca="1">COUNTIF($X$124:$X268,X268)/(COUNTIF($X$124:$X$723,X268)+1)</f>
        <v>0.0597938144329897</v>
      </c>
      <c r="W268" s="19">
        <v>30</v>
      </c>
      <c r="X268" s="19" t="s">
        <v>326</v>
      </c>
      <c r="Y268" s="19">
        <f t="shared" si="121"/>
        <v>15660</v>
      </c>
      <c r="Z268" s="19">
        <f ca="1" t="shared" si="97"/>
        <v>1.94870103092783</v>
      </c>
      <c r="AA268" s="282">
        <f ca="1" t="shared" si="98"/>
        <v>13.9101822916667</v>
      </c>
      <c r="AB268" s="282">
        <f ca="1" t="shared" si="99"/>
        <v>11.9505208333333</v>
      </c>
      <c r="AC268" s="282">
        <f ca="1" t="shared" si="100"/>
        <v>3.15375</v>
      </c>
      <c r="AD268" s="282">
        <f ca="1" t="shared" si="101"/>
        <v>0.7884375</v>
      </c>
      <c r="AE268" s="282">
        <f ca="1" t="shared" si="102"/>
        <v>0.197109375</v>
      </c>
      <c r="AF268" s="19" t="str">
        <f t="shared" si="103"/>
        <v>粉1</v>
      </c>
      <c r="AG268" s="19">
        <f>IFERROR(_xlfn.XLOOKUP(C268+1,[2]基因升级!$E$141:$E$500,[2]基因升级!$D$141:$D$500)-1,AG267)</f>
        <v>81</v>
      </c>
      <c r="AH268" s="19">
        <v>6</v>
      </c>
      <c r="AI268" s="19">
        <f t="shared" si="104"/>
        <v>8.01559450356522</v>
      </c>
      <c r="AJ268" s="19">
        <f t="shared" si="116"/>
        <v>0</v>
      </c>
      <c r="AK268" s="269">
        <v>1.72</v>
      </c>
      <c r="AL268" s="287">
        <f t="shared" si="87"/>
        <v>7.44</v>
      </c>
      <c r="AM268" s="286"/>
      <c r="AQ268" s="19">
        <f t="shared" si="105"/>
        <v>1.65430394718825</v>
      </c>
      <c r="AR268" s="19">
        <f t="shared" si="106"/>
        <v>1</v>
      </c>
      <c r="AS268" s="19">
        <f t="shared" si="107"/>
        <v>1</v>
      </c>
      <c r="AT268" s="19">
        <f t="shared" si="108"/>
        <v>1</v>
      </c>
      <c r="AU268" s="19">
        <f t="shared" si="109"/>
        <v>1</v>
      </c>
      <c r="AV268" s="232">
        <f t="shared" si="89"/>
        <v>0.04</v>
      </c>
      <c r="AW268" s="232">
        <f t="shared" si="90"/>
        <v>0</v>
      </c>
      <c r="AX268" s="232">
        <f t="shared" si="91"/>
        <v>0</v>
      </c>
      <c r="AY268" s="232">
        <f t="shared" si="92"/>
        <v>0</v>
      </c>
      <c r="AZ268" s="232">
        <f t="shared" si="93"/>
        <v>0</v>
      </c>
    </row>
    <row r="269" spans="1:52">
      <c r="A269" s="269"/>
      <c r="C269" s="19">
        <v>146</v>
      </c>
      <c r="D269" s="86">
        <f ca="1" t="shared" si="117"/>
        <v>148.398351079091</v>
      </c>
      <c r="E269" s="251">
        <f ca="1" t="shared" si="94"/>
        <v>0.396549081165425</v>
      </c>
      <c r="F269" s="269">
        <f ca="1" t="shared" si="110"/>
        <v>257.250187924331</v>
      </c>
      <c r="G269" s="283">
        <f ca="1" t="shared" si="111"/>
        <v>102.012325651027</v>
      </c>
      <c r="H269" s="279">
        <f ca="1" t="shared" si="112"/>
        <v>0.260013968040781</v>
      </c>
      <c r="I269" s="269">
        <f ca="1">SUM($J$125:J269)/SUM($H$125:H269)</f>
        <v>0.606653058703603</v>
      </c>
      <c r="J269" s="284">
        <f t="shared" si="118"/>
        <v>0.137357027621611</v>
      </c>
      <c r="K269" s="19">
        <f t="shared" si="120"/>
        <v>15500</v>
      </c>
      <c r="L269" s="269">
        <f t="shared" si="113"/>
        <v>1.77499999999998</v>
      </c>
      <c r="M269" s="226">
        <f ca="1" t="shared" si="114"/>
        <v>15.972</v>
      </c>
      <c r="N269" s="280">
        <f ca="1" t="shared" si="119"/>
        <v>0.122656940419176</v>
      </c>
      <c r="O269" s="226">
        <f t="shared" si="123"/>
        <v>6.6</v>
      </c>
      <c r="P269" s="19">
        <f ca="1" t="shared" si="88"/>
        <v>15.2</v>
      </c>
      <c r="Q269" s="226">
        <f ca="1" t="shared" si="122"/>
        <v>2.42</v>
      </c>
      <c r="R269" s="269">
        <f ca="1" t="shared" si="95"/>
        <v>0.472522773766481</v>
      </c>
      <c r="S269" s="266">
        <f ca="1" t="shared" si="96"/>
        <v>44.3910975108988</v>
      </c>
      <c r="T269" s="226">
        <f ca="1">(1+OFFSET('玩法产出(新)'!$C$18,MATCH(X269,'玩法产出(新)'!$B$19:$B$25,0),1)*(1-V269)+OFFSET('玩法产出(新)'!$C$18,1+MATCH(X269,'玩法产出(新)'!$B$19:$B$25,0),1)*(V269))^AA269*(1+OFFSET('玩法产出(新)'!$C$18,MATCH(X269,'玩法产出(新)'!$B$19:$B$25,0),3)*(1-V269)+OFFSET('玩法产出(新)'!$C$18,1+MATCH(X269,'玩法产出(新)'!$B$19:$B$25,0),3)*(V269))^AB269*(1+OFFSET('玩法产出(新)'!$C$18,MATCH(X269,'玩法产出(新)'!$B$19:$B$25,0),4)*(1-V269)+OFFSET('玩法产出(新)'!$C$18,1+MATCH(X269,'玩法产出(新)'!$B$19:$B$25,0),4)*(V269))^AC269*(1+OFFSET('玩法产出(新)'!$C$18,MATCH(X269,'玩法产出(新)'!$B$19:$B$25,0),5)*(1+V269)+OFFSET('玩法产出(新)'!$C$18,1+MATCH(X269,'玩法产出(新)'!$B$19:$B$25,5),1)*(V269))^AD269*(1+OFFSET('玩法产出(新)'!$C$18,MATCH(X269,'玩法产出(新)'!$B$19:$B$25,0),6)*(1+V269)+OFFSET('玩法产出(新)'!$C$18,1+MATCH(X269,'玩法产出(新)'!$B$19:$B$25,0),6)*(V269))^AE269</f>
        <v>20.154783643033</v>
      </c>
      <c r="U269" s="226">
        <f ca="1" t="shared" si="115"/>
        <v>0.136535113124638</v>
      </c>
      <c r="V269" s="226">
        <f ca="1">COUNTIF($X$124:$X269,X269)/(COUNTIF($X$124:$X$723,X269)+1)</f>
        <v>0.0618556701030928</v>
      </c>
      <c r="W269" s="19">
        <v>30</v>
      </c>
      <c r="X269" s="19" t="s">
        <v>326</v>
      </c>
      <c r="Y269" s="19">
        <f t="shared" si="121"/>
        <v>15760</v>
      </c>
      <c r="Z269" s="19">
        <f ca="1" t="shared" si="97"/>
        <v>1.94969072164948</v>
      </c>
      <c r="AA269" s="282">
        <f ca="1" t="shared" si="98"/>
        <v>13.8104208333333</v>
      </c>
      <c r="AB269" s="282">
        <f ca="1" t="shared" si="99"/>
        <v>12.0229166666667</v>
      </c>
      <c r="AC269" s="282">
        <f ca="1" t="shared" si="100"/>
        <v>3.1746</v>
      </c>
      <c r="AD269" s="282">
        <f ca="1" t="shared" si="101"/>
        <v>0.79365</v>
      </c>
      <c r="AE269" s="282">
        <f ca="1" t="shared" si="102"/>
        <v>0.1984125</v>
      </c>
      <c r="AF269" s="19" t="str">
        <f t="shared" si="103"/>
        <v>粉1</v>
      </c>
      <c r="AG269" s="19">
        <f>IFERROR(_xlfn.XLOOKUP(C269+1,[2]基因升级!$E$141:$E$500,[2]基因升级!$D$141:$D$500)-1,AG268)</f>
        <v>81</v>
      </c>
      <c r="AH269" s="19">
        <v>6</v>
      </c>
      <c r="AI269" s="19">
        <f t="shared" si="104"/>
        <v>8.01559450356522</v>
      </c>
      <c r="AJ269" s="19">
        <f t="shared" si="116"/>
        <v>0</v>
      </c>
      <c r="AK269" s="269">
        <v>1.72</v>
      </c>
      <c r="AL269" s="287">
        <f t="shared" si="87"/>
        <v>7.48</v>
      </c>
      <c r="AM269" s="286"/>
      <c r="AQ269" s="19">
        <f t="shared" si="105"/>
        <v>1.65878712974261</v>
      </c>
      <c r="AR269" s="19">
        <f t="shared" si="106"/>
        <v>1</v>
      </c>
      <c r="AS269" s="19">
        <f t="shared" si="107"/>
        <v>1</v>
      </c>
      <c r="AT269" s="19">
        <f t="shared" si="108"/>
        <v>1</v>
      </c>
      <c r="AU269" s="19">
        <f t="shared" si="109"/>
        <v>1</v>
      </c>
      <c r="AV269" s="232">
        <f t="shared" si="89"/>
        <v>0.04</v>
      </c>
      <c r="AW269" s="232">
        <f t="shared" si="90"/>
        <v>0</v>
      </c>
      <c r="AX269" s="232">
        <f t="shared" si="91"/>
        <v>0</v>
      </c>
      <c r="AY269" s="232">
        <f t="shared" si="92"/>
        <v>0</v>
      </c>
      <c r="AZ269" s="232">
        <f t="shared" si="93"/>
        <v>0</v>
      </c>
    </row>
    <row r="270" spans="1:52">
      <c r="A270" s="269"/>
      <c r="C270" s="19">
        <v>147</v>
      </c>
      <c r="D270" s="86">
        <f ca="1" t="shared" si="117"/>
        <v>148.793363505697</v>
      </c>
      <c r="E270" s="251">
        <f ca="1" t="shared" si="94"/>
        <v>0.395012426606034</v>
      </c>
      <c r="F270" s="269">
        <f ca="1" t="shared" si="110"/>
        <v>258.904760228197</v>
      </c>
      <c r="G270" s="283">
        <f ca="1" t="shared" si="111"/>
        <v>102.270597597594</v>
      </c>
      <c r="H270" s="279">
        <f ca="1" t="shared" si="112"/>
        <v>0.258271946566936</v>
      </c>
      <c r="I270" s="269">
        <f ca="1">SUM($J$125:J270)/SUM($H$125:H270)</f>
        <v>0.606435687979361</v>
      </c>
      <c r="J270" s="284">
        <f t="shared" si="118"/>
        <v>0.136624539736154</v>
      </c>
      <c r="K270" s="19">
        <f t="shared" si="120"/>
        <v>15600</v>
      </c>
      <c r="L270" s="269">
        <f t="shared" si="113"/>
        <v>1.77999999999998</v>
      </c>
      <c r="M270" s="226">
        <f ca="1" t="shared" si="114"/>
        <v>16.104</v>
      </c>
      <c r="N270" s="280">
        <f ca="1" t="shared" si="119"/>
        <v>0.121647406830789</v>
      </c>
      <c r="O270" s="226">
        <f t="shared" si="123"/>
        <v>6.6</v>
      </c>
      <c r="P270" s="19">
        <f ca="1" t="shared" si="88"/>
        <v>15.4</v>
      </c>
      <c r="Q270" s="226">
        <f ca="1" t="shared" si="122"/>
        <v>2.44</v>
      </c>
      <c r="R270" s="269">
        <f ca="1" t="shared" si="95"/>
        <v>0.473978313154719</v>
      </c>
      <c r="S270" s="266">
        <f ca="1" t="shared" si="96"/>
        <v>44.5278379909379</v>
      </c>
      <c r="T270" s="226">
        <f ca="1">(1+OFFSET('玩法产出(新)'!$C$18,MATCH(X270,'玩法产出(新)'!$B$19:$B$25,0),1)*(1-V270)+OFFSET('玩法产出(新)'!$C$18,1+MATCH(X270,'玩法产出(新)'!$B$19:$B$25,0),1)*(V270))^AA270*(1+OFFSET('玩法产出(新)'!$C$18,MATCH(X270,'玩法产出(新)'!$B$19:$B$25,0),3)*(1-V270)+OFFSET('玩法产出(新)'!$C$18,1+MATCH(X270,'玩法产出(新)'!$B$19:$B$25,0),3)*(V270))^AB270*(1+OFFSET('玩法产出(新)'!$C$18,MATCH(X270,'玩法产出(新)'!$B$19:$B$25,0),4)*(1-V270)+OFFSET('玩法产出(新)'!$C$18,1+MATCH(X270,'玩法产出(新)'!$B$19:$B$25,0),4)*(V270))^AC270*(1+OFFSET('玩法产出(新)'!$C$18,MATCH(X270,'玩法产出(新)'!$B$19:$B$25,0),5)*(1+V270)+OFFSET('玩法产出(新)'!$C$18,1+MATCH(X270,'玩法产出(新)'!$B$19:$B$25,5),1)*(V270))^AD270*(1+OFFSET('玩法产出(新)'!$C$18,MATCH(X270,'玩法产出(新)'!$B$19:$B$25,0),6)*(1+V270)+OFFSET('玩法产出(新)'!$C$18,1+MATCH(X270,'玩法产出(新)'!$B$19:$B$25,0),6)*(V270))^AE270</f>
        <v>20.3421143981242</v>
      </c>
      <c r="U270" s="226">
        <f ca="1" t="shared" si="115"/>
        <v>0.136740480039091</v>
      </c>
      <c r="V270" s="226">
        <f ca="1">COUNTIF($X$124:$X270,X270)/(COUNTIF($X$124:$X$723,X270)+1)</f>
        <v>0.0639175257731959</v>
      </c>
      <c r="W270" s="19">
        <v>30</v>
      </c>
      <c r="X270" s="19" t="s">
        <v>326</v>
      </c>
      <c r="Y270" s="19">
        <f t="shared" si="121"/>
        <v>15860</v>
      </c>
      <c r="Z270" s="19">
        <f ca="1" t="shared" si="97"/>
        <v>1.95068041237113</v>
      </c>
      <c r="AA270" s="282">
        <f ca="1" t="shared" si="98"/>
        <v>13.710659375</v>
      </c>
      <c r="AB270" s="282">
        <f ca="1" t="shared" si="99"/>
        <v>12.0953125</v>
      </c>
      <c r="AC270" s="282">
        <f ca="1" t="shared" si="100"/>
        <v>3.19545</v>
      </c>
      <c r="AD270" s="282">
        <f ca="1" t="shared" si="101"/>
        <v>0.7988625</v>
      </c>
      <c r="AE270" s="282">
        <f ca="1" t="shared" si="102"/>
        <v>0.199715625</v>
      </c>
      <c r="AF270" s="19" t="str">
        <f t="shared" si="103"/>
        <v>粉1</v>
      </c>
      <c r="AG270" s="19">
        <f>IFERROR(_xlfn.XLOOKUP(C270+1,[2]基因升级!$E$141:$E$500,[2]基因升级!$D$141:$D$500)-1,AG269)</f>
        <v>81</v>
      </c>
      <c r="AH270" s="19">
        <v>6</v>
      </c>
      <c r="AI270" s="19">
        <f t="shared" si="104"/>
        <v>8.01559450356522</v>
      </c>
      <c r="AJ270" s="19">
        <f t="shared" si="116"/>
        <v>0</v>
      </c>
      <c r="AK270" s="269">
        <v>1.72</v>
      </c>
      <c r="AL270" s="287">
        <f t="shared" si="87"/>
        <v>7.52</v>
      </c>
      <c r="AM270" s="286"/>
      <c r="AQ270" s="19">
        <f t="shared" si="105"/>
        <v>1.6632824617728</v>
      </c>
      <c r="AR270" s="19">
        <f t="shared" si="106"/>
        <v>1</v>
      </c>
      <c r="AS270" s="19">
        <f t="shared" si="107"/>
        <v>1</v>
      </c>
      <c r="AT270" s="19">
        <f t="shared" si="108"/>
        <v>1</v>
      </c>
      <c r="AU270" s="19">
        <f t="shared" si="109"/>
        <v>1</v>
      </c>
      <c r="AV270" s="232">
        <f t="shared" si="89"/>
        <v>0.04</v>
      </c>
      <c r="AW270" s="232">
        <f t="shared" si="90"/>
        <v>0</v>
      </c>
      <c r="AX270" s="232">
        <f t="shared" si="91"/>
        <v>0</v>
      </c>
      <c r="AY270" s="232">
        <f t="shared" si="92"/>
        <v>0</v>
      </c>
      <c r="AZ270" s="232">
        <f t="shared" si="93"/>
        <v>0</v>
      </c>
    </row>
    <row r="271" spans="1:52">
      <c r="A271" s="269"/>
      <c r="C271" s="19">
        <v>148</v>
      </c>
      <c r="D271" s="86">
        <f ca="1" t="shared" si="117"/>
        <v>149.186864170233</v>
      </c>
      <c r="E271" s="251">
        <f ca="1" t="shared" si="94"/>
        <v>0.39350066453602</v>
      </c>
      <c r="F271" s="269">
        <f ca="1" t="shared" si="110"/>
        <v>260.55140884236</v>
      </c>
      <c r="G271" s="283">
        <f ca="1" t="shared" si="111"/>
        <v>102.527152525265</v>
      </c>
      <c r="H271" s="279">
        <f ca="1" t="shared" si="112"/>
        <v>0.25655492767136</v>
      </c>
      <c r="I271" s="269">
        <f ca="1">SUM($J$125:J271)/SUM($H$125:H271)</f>
        <v>0.60622295591576</v>
      </c>
      <c r="J271" s="284">
        <f t="shared" si="118"/>
        <v>0.13590057197105</v>
      </c>
      <c r="K271" s="19">
        <f t="shared" si="120"/>
        <v>15700</v>
      </c>
      <c r="L271" s="269">
        <f t="shared" si="113"/>
        <v>1.78499999999998</v>
      </c>
      <c r="M271" s="226">
        <f ca="1" t="shared" si="114"/>
        <v>16.236</v>
      </c>
      <c r="N271" s="280">
        <f ca="1" t="shared" si="119"/>
        <v>0.120654355700296</v>
      </c>
      <c r="O271" s="226">
        <f t="shared" si="123"/>
        <v>6.6</v>
      </c>
      <c r="P271" s="19">
        <f ca="1" t="shared" si="88"/>
        <v>15.6</v>
      </c>
      <c r="Q271" s="226">
        <f ca="1" t="shared" si="122"/>
        <v>2.46</v>
      </c>
      <c r="R271" s="269">
        <f ca="1" t="shared" si="95"/>
        <v>0.475436037407265</v>
      </c>
      <c r="S271" s="266">
        <f ca="1" t="shared" si="96"/>
        <v>44.6647837278025</v>
      </c>
      <c r="T271" s="226">
        <f ca="1">(1+OFFSET('玩法产出(新)'!$C$18,MATCH(X271,'玩法产出(新)'!$B$19:$B$25,0),1)*(1-V271)+OFFSET('玩法产出(新)'!$C$18,1+MATCH(X271,'玩法产出(新)'!$B$19:$B$25,0),1)*(V271))^AA271*(1+OFFSET('玩法产出(新)'!$C$18,MATCH(X271,'玩法产出(新)'!$B$19:$B$25,0),3)*(1-V271)+OFFSET('玩法产出(新)'!$C$18,1+MATCH(X271,'玩法产出(新)'!$B$19:$B$25,0),3)*(V271))^AB271*(1+OFFSET('玩法产出(新)'!$C$18,MATCH(X271,'玩法产出(新)'!$B$19:$B$25,0),4)*(1-V271)+OFFSET('玩法产出(新)'!$C$18,1+MATCH(X271,'玩法产出(新)'!$B$19:$B$25,0),4)*(V271))^AC271*(1+OFFSET('玩法产出(新)'!$C$18,MATCH(X271,'玩法产出(新)'!$B$19:$B$25,0),5)*(1+V271)+OFFSET('玩法产出(新)'!$C$18,1+MATCH(X271,'玩法产出(新)'!$B$19:$B$25,5),1)*(V271))^AD271*(1+OFFSET('玩法产出(新)'!$C$18,MATCH(X271,'玩法产出(新)'!$B$19:$B$25,0),6)*(1+V271)+OFFSET('玩法产出(新)'!$C$18,1+MATCH(X271,'玩法产出(新)'!$B$19:$B$25,0),6)*(V271))^AE271</f>
        <v>20.531471445374</v>
      </c>
      <c r="U271" s="226">
        <f ca="1" t="shared" si="115"/>
        <v>0.136945736864674</v>
      </c>
      <c r="V271" s="226">
        <f ca="1">COUNTIF($X$124:$X271,X271)/(COUNTIF($X$124:$X$723,X271)+1)</f>
        <v>0.065979381443299</v>
      </c>
      <c r="W271" s="19">
        <v>30</v>
      </c>
      <c r="X271" s="19" t="s">
        <v>326</v>
      </c>
      <c r="Y271" s="19">
        <f t="shared" si="121"/>
        <v>15960</v>
      </c>
      <c r="Z271" s="19">
        <f ca="1" t="shared" si="97"/>
        <v>1.95167010309278</v>
      </c>
      <c r="AA271" s="282">
        <f ca="1" t="shared" si="98"/>
        <v>13.6108979166667</v>
      </c>
      <c r="AB271" s="282">
        <f ca="1" t="shared" si="99"/>
        <v>12.1677083333333</v>
      </c>
      <c r="AC271" s="282">
        <f ca="1" t="shared" si="100"/>
        <v>3.2163</v>
      </c>
      <c r="AD271" s="282">
        <f ca="1" t="shared" si="101"/>
        <v>0.804075</v>
      </c>
      <c r="AE271" s="282">
        <f ca="1" t="shared" si="102"/>
        <v>0.20101875</v>
      </c>
      <c r="AF271" s="19" t="str">
        <f t="shared" si="103"/>
        <v>粉1</v>
      </c>
      <c r="AG271" s="19">
        <f>IFERROR(_xlfn.XLOOKUP(C271+1,[2]基因升级!$E$141:$E$500,[2]基因升级!$D$141:$D$500)-1,AG270)</f>
        <v>81</v>
      </c>
      <c r="AH271" s="19">
        <v>6</v>
      </c>
      <c r="AI271" s="19">
        <f t="shared" si="104"/>
        <v>8.01559450356522</v>
      </c>
      <c r="AJ271" s="19">
        <f t="shared" si="116"/>
        <v>0</v>
      </c>
      <c r="AK271" s="269">
        <v>1.72</v>
      </c>
      <c r="AL271" s="287">
        <f t="shared" si="87"/>
        <v>7.56</v>
      </c>
      <c r="AM271" s="286"/>
      <c r="AQ271" s="19">
        <f t="shared" si="105"/>
        <v>1.66778997620404</v>
      </c>
      <c r="AR271" s="19">
        <f t="shared" si="106"/>
        <v>1</v>
      </c>
      <c r="AS271" s="19">
        <f t="shared" si="107"/>
        <v>1</v>
      </c>
      <c r="AT271" s="19">
        <f t="shared" si="108"/>
        <v>1</v>
      </c>
      <c r="AU271" s="19">
        <f t="shared" si="109"/>
        <v>1</v>
      </c>
      <c r="AV271" s="232">
        <f t="shared" si="89"/>
        <v>0.04</v>
      </c>
      <c r="AW271" s="232">
        <f t="shared" si="90"/>
        <v>0</v>
      </c>
      <c r="AX271" s="232">
        <f t="shared" si="91"/>
        <v>0</v>
      </c>
      <c r="AY271" s="232">
        <f t="shared" si="92"/>
        <v>0</v>
      </c>
      <c r="AZ271" s="232">
        <f t="shared" si="93"/>
        <v>0</v>
      </c>
    </row>
    <row r="272" spans="1:52">
      <c r="A272" s="269"/>
      <c r="C272" s="19">
        <v>149</v>
      </c>
      <c r="D272" s="86">
        <f ca="1" t="shared" si="117"/>
        <v>149.578877409672</v>
      </c>
      <c r="E272" s="251">
        <f ca="1" t="shared" si="94"/>
        <v>0.392013239438956</v>
      </c>
      <c r="F272" s="269">
        <f ca="1" t="shared" si="110"/>
        <v>262.19016232219</v>
      </c>
      <c r="G272" s="283">
        <f ca="1" t="shared" si="111"/>
        <v>102.782014880948</v>
      </c>
      <c r="H272" s="279">
        <f ca="1" t="shared" si="112"/>
        <v>0.254862355682619</v>
      </c>
      <c r="I272" s="269">
        <f ca="1">SUM($J$125:J272)/SUM($H$125:H272)</f>
        <v>0.60601474270126</v>
      </c>
      <c r="J272" s="284">
        <f t="shared" si="118"/>
        <v>0.13518496904738</v>
      </c>
      <c r="K272" s="19">
        <f t="shared" si="120"/>
        <v>15800</v>
      </c>
      <c r="L272" s="269">
        <f t="shared" si="113"/>
        <v>1.78999999999998</v>
      </c>
      <c r="M272" s="226">
        <f ca="1" t="shared" si="114"/>
        <v>16.368</v>
      </c>
      <c r="N272" s="280">
        <f ca="1" t="shared" si="119"/>
        <v>0.119677386635253</v>
      </c>
      <c r="O272" s="226">
        <f t="shared" si="123"/>
        <v>6.6</v>
      </c>
      <c r="P272" s="19">
        <f ca="1" t="shared" si="88"/>
        <v>15.8</v>
      </c>
      <c r="Q272" s="226">
        <f ca="1" t="shared" si="122"/>
        <v>2.48</v>
      </c>
      <c r="R272" s="269">
        <f ca="1" t="shared" si="95"/>
        <v>0.476895945353924</v>
      </c>
      <c r="S272" s="266">
        <f ca="1" t="shared" si="96"/>
        <v>44.8019346115589</v>
      </c>
      <c r="T272" s="226">
        <f ca="1">(1+OFFSET('玩法产出(新)'!$C$18,MATCH(X272,'玩法产出(新)'!$B$19:$B$25,0),1)*(1-V272)+OFFSET('玩法产出(新)'!$C$18,1+MATCH(X272,'玩法产出(新)'!$B$19:$B$25,0),1)*(V272))^AA272*(1+OFFSET('玩法产出(新)'!$C$18,MATCH(X272,'玩法产出(新)'!$B$19:$B$25,0),3)*(1-V272)+OFFSET('玩法产出(新)'!$C$18,1+MATCH(X272,'玩法产出(新)'!$B$19:$B$25,0),3)*(V272))^AB272*(1+OFFSET('玩法产出(新)'!$C$18,MATCH(X272,'玩法产出(新)'!$B$19:$B$25,0),4)*(1-V272)+OFFSET('玩法产出(新)'!$C$18,1+MATCH(X272,'玩法产出(新)'!$B$19:$B$25,0),4)*(V272))^AC272*(1+OFFSET('玩法产出(新)'!$C$18,MATCH(X272,'玩法产出(新)'!$B$19:$B$25,0),5)*(1+V272)+OFFSET('玩法产出(新)'!$C$18,1+MATCH(X272,'玩法产出(新)'!$B$19:$B$25,5),1)*(V272))^AD272*(1+OFFSET('玩法产出(新)'!$C$18,MATCH(X272,'玩法产出(新)'!$B$19:$B$25,0),6)*(1+V272)+OFFSET('玩法产出(新)'!$C$18,1+MATCH(X272,'玩法产出(新)'!$B$19:$B$25,0),6)*(V272))^AE272</f>
        <v>20.7228787765024</v>
      </c>
      <c r="U272" s="226">
        <f ca="1" t="shared" si="115"/>
        <v>0.137150883756324</v>
      </c>
      <c r="V272" s="226">
        <f ca="1">COUNTIF($X$124:$X272,X272)/(COUNTIF($X$124:$X$723,X272)+1)</f>
        <v>0.0680412371134021</v>
      </c>
      <c r="W272" s="19">
        <v>30</v>
      </c>
      <c r="X272" s="19" t="s">
        <v>326</v>
      </c>
      <c r="Y272" s="19">
        <f t="shared" si="121"/>
        <v>16060</v>
      </c>
      <c r="Z272" s="19">
        <f ca="1" t="shared" si="97"/>
        <v>1.95265979381443</v>
      </c>
      <c r="AA272" s="282">
        <f ca="1" t="shared" si="98"/>
        <v>13.5111364583333</v>
      </c>
      <c r="AB272" s="282">
        <f ca="1" t="shared" si="99"/>
        <v>12.2401041666667</v>
      </c>
      <c r="AC272" s="282">
        <f ca="1" t="shared" si="100"/>
        <v>3.23715</v>
      </c>
      <c r="AD272" s="282">
        <f ca="1" t="shared" si="101"/>
        <v>0.8092875</v>
      </c>
      <c r="AE272" s="282">
        <f ca="1" t="shared" si="102"/>
        <v>0.202321875</v>
      </c>
      <c r="AF272" s="19" t="str">
        <f t="shared" si="103"/>
        <v>粉1</v>
      </c>
      <c r="AG272" s="19">
        <f>IFERROR(_xlfn.XLOOKUP(C272+1,[2]基因升级!$E$141:$E$500,[2]基因升级!$D$141:$D$500)-1,AG271)</f>
        <v>81</v>
      </c>
      <c r="AH272" s="19">
        <v>6</v>
      </c>
      <c r="AI272" s="19">
        <f t="shared" si="104"/>
        <v>8.01559450356522</v>
      </c>
      <c r="AJ272" s="19">
        <f t="shared" si="116"/>
        <v>0</v>
      </c>
      <c r="AK272" s="269">
        <v>1.72</v>
      </c>
      <c r="AL272" s="287">
        <f t="shared" ref="AL272:AL335" si="124">AL271+0.04</f>
        <v>7.6</v>
      </c>
      <c r="AM272" s="286"/>
      <c r="AQ272" s="19">
        <f t="shared" si="105"/>
        <v>1.67230970605077</v>
      </c>
      <c r="AR272" s="19">
        <f t="shared" si="106"/>
        <v>1</v>
      </c>
      <c r="AS272" s="19">
        <f t="shared" si="107"/>
        <v>1</v>
      </c>
      <c r="AT272" s="19">
        <f t="shared" si="108"/>
        <v>1</v>
      </c>
      <c r="AU272" s="19">
        <f t="shared" si="109"/>
        <v>1</v>
      </c>
      <c r="AV272" s="232">
        <f t="shared" si="89"/>
        <v>0.04</v>
      </c>
      <c r="AW272" s="232">
        <f t="shared" si="90"/>
        <v>0</v>
      </c>
      <c r="AX272" s="232">
        <f t="shared" si="91"/>
        <v>0</v>
      </c>
      <c r="AY272" s="232">
        <f t="shared" si="92"/>
        <v>0</v>
      </c>
      <c r="AZ272" s="232">
        <f t="shared" si="93"/>
        <v>0</v>
      </c>
    </row>
    <row r="273" spans="1:52">
      <c r="A273" s="269"/>
      <c r="C273" s="19">
        <v>150</v>
      </c>
      <c r="D273" s="86">
        <f ca="1" t="shared" si="117"/>
        <v>149.969427022175</v>
      </c>
      <c r="E273" s="251">
        <f ca="1" t="shared" si="94"/>
        <v>0.390549612503181</v>
      </c>
      <c r="F273" s="269">
        <f ca="1" t="shared" si="110"/>
        <v>263.821049295608</v>
      </c>
      <c r="G273" s="283">
        <f ca="1" t="shared" si="111"/>
        <v>103.035208572582</v>
      </c>
      <c r="H273" s="279">
        <f ca="1" t="shared" si="112"/>
        <v>0.25319369163482</v>
      </c>
      <c r="I273" s="269">
        <f ca="1">SUM($J$125:J273)/SUM($H$125:H273)</f>
        <v>0.605810932437884</v>
      </c>
      <c r="J273" s="284">
        <f t="shared" si="118"/>
        <v>0.134477579527243</v>
      </c>
      <c r="K273" s="19">
        <f t="shared" si="120"/>
        <v>15900</v>
      </c>
      <c r="L273" s="269">
        <f t="shared" si="113"/>
        <v>1.79499999999998</v>
      </c>
      <c r="M273" s="226">
        <f ca="1" t="shared" si="114"/>
        <v>16.5</v>
      </c>
      <c r="N273" s="280">
        <f ca="1" t="shared" si="119"/>
        <v>0.11871611210757</v>
      </c>
      <c r="O273" s="226">
        <f t="shared" si="123"/>
        <v>6.6</v>
      </c>
      <c r="P273" s="19">
        <f ca="1" t="shared" si="88"/>
        <v>16</v>
      </c>
      <c r="Q273" s="226">
        <f ca="1" t="shared" si="122"/>
        <v>2.5</v>
      </c>
      <c r="R273" s="269">
        <f ca="1" t="shared" si="95"/>
        <v>0.478358035826142</v>
      </c>
      <c r="S273" s="266">
        <f ca="1" t="shared" si="96"/>
        <v>44.9392905324272</v>
      </c>
      <c r="T273" s="226">
        <f ca="1">(1+OFFSET('玩法产出(新)'!$C$18,MATCH(X273,'玩法产出(新)'!$B$19:$B$25,0),1)*(1-V273)+OFFSET('玩法产出(新)'!$C$18,1+MATCH(X273,'玩法产出(新)'!$B$19:$B$25,0),1)*(V273))^AA273*(1+OFFSET('玩法产出(新)'!$C$18,MATCH(X273,'玩法产出(新)'!$B$19:$B$25,0),3)*(1-V273)+OFFSET('玩法产出(新)'!$C$18,1+MATCH(X273,'玩法产出(新)'!$B$19:$B$25,0),3)*(V273))^AB273*(1+OFFSET('玩法产出(新)'!$C$18,MATCH(X273,'玩法产出(新)'!$B$19:$B$25,0),4)*(1-V273)+OFFSET('玩法产出(新)'!$C$18,1+MATCH(X273,'玩法产出(新)'!$B$19:$B$25,0),4)*(V273))^AC273*(1+OFFSET('玩法产出(新)'!$C$18,MATCH(X273,'玩法产出(新)'!$B$19:$B$25,0),5)*(1+V273)+OFFSET('玩法产出(新)'!$C$18,1+MATCH(X273,'玩法产出(新)'!$B$19:$B$25,5),1)*(V273))^AD273*(1+OFFSET('玩法产出(新)'!$C$18,MATCH(X273,'玩法产出(新)'!$B$19:$B$25,0),6)*(1+V273)+OFFSET('玩法产出(新)'!$C$18,1+MATCH(X273,'玩法产出(新)'!$B$19:$B$25,0),6)*(V273))^AE273</f>
        <v>20.9163606884496</v>
      </c>
      <c r="U273" s="226">
        <f ca="1" t="shared" si="115"/>
        <v>0.137355920868367</v>
      </c>
      <c r="V273" s="226">
        <f ca="1">COUNTIF($X$124:$X273,X273)/(COUNTIF($X$124:$X$723,X273)+1)</f>
        <v>0.0701030927835052</v>
      </c>
      <c r="W273" s="19">
        <v>30</v>
      </c>
      <c r="X273" s="19" t="s">
        <v>326</v>
      </c>
      <c r="Y273" s="19">
        <f t="shared" si="121"/>
        <v>16160</v>
      </c>
      <c r="Z273" s="19">
        <f ca="1" t="shared" si="97"/>
        <v>1.95364948453608</v>
      </c>
      <c r="AA273" s="282">
        <f ca="1" t="shared" si="98"/>
        <v>13.411375</v>
      </c>
      <c r="AB273" s="282">
        <f ca="1" t="shared" si="99"/>
        <v>12.3125</v>
      </c>
      <c r="AC273" s="282">
        <f ca="1" t="shared" si="100"/>
        <v>3.258</v>
      </c>
      <c r="AD273" s="282">
        <f ca="1" t="shared" si="101"/>
        <v>0.8145</v>
      </c>
      <c r="AE273" s="282">
        <f ca="1" t="shared" si="102"/>
        <v>0.203625</v>
      </c>
      <c r="AF273" s="19" t="str">
        <f t="shared" si="103"/>
        <v>粉1</v>
      </c>
      <c r="AG273" s="19">
        <f>IFERROR(_xlfn.XLOOKUP(C273+1,[2]基因升级!$E$141:$E$500,[2]基因升级!$D$141:$D$500)-1,AG272)</f>
        <v>82</v>
      </c>
      <c r="AH273" s="19">
        <v>6</v>
      </c>
      <c r="AI273" s="19">
        <f t="shared" si="104"/>
        <v>8.01559450356522</v>
      </c>
      <c r="AJ273" s="19">
        <f t="shared" si="116"/>
        <v>0</v>
      </c>
      <c r="AK273" s="269">
        <v>1.72</v>
      </c>
      <c r="AL273" s="287">
        <f t="shared" si="124"/>
        <v>7.64</v>
      </c>
      <c r="AM273" s="287">
        <f t="shared" ref="AM273:AM336" si="125">AL183</f>
        <v>1.5</v>
      </c>
      <c r="AQ273" s="19">
        <f t="shared" si="105"/>
        <v>1.6768416844169</v>
      </c>
      <c r="AR273" s="19">
        <f t="shared" si="106"/>
        <v>1.10681660630838</v>
      </c>
      <c r="AS273" s="19">
        <f t="shared" si="107"/>
        <v>1</v>
      </c>
      <c r="AT273" s="19">
        <f t="shared" si="108"/>
        <v>1</v>
      </c>
      <c r="AU273" s="19">
        <f t="shared" si="109"/>
        <v>1</v>
      </c>
      <c r="AV273" s="232">
        <f t="shared" si="89"/>
        <v>0.04</v>
      </c>
      <c r="AW273" s="232">
        <f t="shared" si="90"/>
        <v>1.5</v>
      </c>
      <c r="AX273" s="232">
        <f t="shared" si="91"/>
        <v>0</v>
      </c>
      <c r="AY273" s="232">
        <f t="shared" si="92"/>
        <v>0</v>
      </c>
      <c r="AZ273" s="232">
        <f t="shared" si="93"/>
        <v>0</v>
      </c>
    </row>
    <row r="274" spans="1:52">
      <c r="A274" s="269"/>
      <c r="C274" s="19">
        <v>151</v>
      </c>
      <c r="D274" s="86">
        <f ca="1" t="shared" si="117"/>
        <v>150.358536283166</v>
      </c>
      <c r="E274" s="251">
        <f ca="1" t="shared" si="94"/>
        <v>0.389109260990547</v>
      </c>
      <c r="F274" s="269">
        <f ca="1" t="shared" si="110"/>
        <v>265.444098457803</v>
      </c>
      <c r="G274" s="283">
        <f ca="1" t="shared" si="111"/>
        <v>103.286756985218</v>
      </c>
      <c r="H274" s="279">
        <f ca="1" t="shared" si="112"/>
        <v>0.251548412635458</v>
      </c>
      <c r="I274" s="269">
        <f ca="1">SUM($J$125:J274)/SUM($H$125:H274)</f>
        <v>0.605611412984973</v>
      </c>
      <c r="J274" s="284">
        <f t="shared" si="118"/>
        <v>0.133778255694466</v>
      </c>
      <c r="K274" s="19">
        <f t="shared" si="120"/>
        <v>16000</v>
      </c>
      <c r="L274" s="269">
        <f t="shared" si="113"/>
        <v>1.79999999999998</v>
      </c>
      <c r="M274" s="226">
        <f ca="1" t="shared" si="114"/>
        <v>16.632</v>
      </c>
      <c r="N274" s="280">
        <f ca="1" t="shared" si="119"/>
        <v>0.117770156940992</v>
      </c>
      <c r="O274" s="226">
        <f t="shared" si="123"/>
        <v>6.6</v>
      </c>
      <c r="P274" s="19">
        <f ca="1" t="shared" si="88"/>
        <v>16.2</v>
      </c>
      <c r="Q274" s="226">
        <f ca="1" t="shared" si="122"/>
        <v>2.52</v>
      </c>
      <c r="R274" s="269">
        <f ca="1" t="shared" si="95"/>
        <v>0.479822307657007</v>
      </c>
      <c r="S274" s="266">
        <f ca="1" t="shared" si="96"/>
        <v>45.0768513807823</v>
      </c>
      <c r="T274" s="226">
        <f ca="1">(1+OFFSET('玩法产出(新)'!$C$18,MATCH(X274,'玩法产出(新)'!$B$19:$B$25,0),1)*(1-V274)+OFFSET('玩法产出(新)'!$C$18,1+MATCH(X274,'玩法产出(新)'!$B$19:$B$25,0),1)*(V274))^AA274*(1+OFFSET('玩法产出(新)'!$C$18,MATCH(X274,'玩法产出(新)'!$B$19:$B$25,0),3)*(1-V274)+OFFSET('玩法产出(新)'!$C$18,1+MATCH(X274,'玩法产出(新)'!$B$19:$B$25,0),3)*(V274))^AB274*(1+OFFSET('玩法产出(新)'!$C$18,MATCH(X274,'玩法产出(新)'!$B$19:$B$25,0),4)*(1-V274)+OFFSET('玩法产出(新)'!$C$18,1+MATCH(X274,'玩法产出(新)'!$B$19:$B$25,0),4)*(V274))^AC274*(1+OFFSET('玩法产出(新)'!$C$18,MATCH(X274,'玩法产出(新)'!$B$19:$B$25,0),5)*(1+V274)+OFFSET('玩法产出(新)'!$C$18,1+MATCH(X274,'玩法产出(新)'!$B$19:$B$25,5),1)*(V274))^AD274*(1+OFFSET('玩法产出(新)'!$C$18,MATCH(X274,'玩法产出(新)'!$B$19:$B$25,0),6)*(1+V274)+OFFSET('玩法产出(新)'!$C$18,1+MATCH(X274,'玩法产出(新)'!$B$19:$B$25,0),6)*(V274))^AE274</f>
        <v>21.1119417874924</v>
      </c>
      <c r="U274" s="226">
        <f ca="1" t="shared" si="115"/>
        <v>0.137560848355089</v>
      </c>
      <c r="V274" s="226">
        <f ca="1">COUNTIF($X$124:$X274,X274)/(COUNTIF($X$124:$X$723,X274)+1)</f>
        <v>0.0721649484536082</v>
      </c>
      <c r="W274" s="19">
        <v>30</v>
      </c>
      <c r="X274" s="19" t="s">
        <v>326</v>
      </c>
      <c r="Y274" s="19">
        <f t="shared" si="121"/>
        <v>16260</v>
      </c>
      <c r="Z274" s="19">
        <f ca="1" t="shared" si="97"/>
        <v>1.95463917525773</v>
      </c>
      <c r="AA274" s="282">
        <f ca="1" t="shared" si="98"/>
        <v>13.3116135416667</v>
      </c>
      <c r="AB274" s="282">
        <f ca="1" t="shared" si="99"/>
        <v>12.3848958333333</v>
      </c>
      <c r="AC274" s="282">
        <f ca="1" t="shared" si="100"/>
        <v>3.27885</v>
      </c>
      <c r="AD274" s="282">
        <f ca="1" t="shared" si="101"/>
        <v>0.8197125</v>
      </c>
      <c r="AE274" s="282">
        <f ca="1" t="shared" si="102"/>
        <v>0.204928125</v>
      </c>
      <c r="AF274" s="19" t="str">
        <f t="shared" si="103"/>
        <v>粉1</v>
      </c>
      <c r="AG274" s="19">
        <f>IFERROR(_xlfn.XLOOKUP(C274+1,[2]基因升级!$E$141:$E$500,[2]基因升级!$D$141:$D$500)-1,AG273)</f>
        <v>82</v>
      </c>
      <c r="AH274" s="19">
        <v>6</v>
      </c>
      <c r="AI274" s="19">
        <f t="shared" si="104"/>
        <v>8.01559450356522</v>
      </c>
      <c r="AJ274" s="19">
        <f t="shared" si="116"/>
        <v>0</v>
      </c>
      <c r="AK274" s="269">
        <v>1.72</v>
      </c>
      <c r="AL274" s="287">
        <f t="shared" si="124"/>
        <v>7.68</v>
      </c>
      <c r="AM274" s="287">
        <f t="shared" si="125"/>
        <v>1.9</v>
      </c>
      <c r="AQ274" s="19">
        <f t="shared" si="105"/>
        <v>1.68138594449606</v>
      </c>
      <c r="AR274" s="19">
        <f t="shared" si="106"/>
        <v>1.13717990733817</v>
      </c>
      <c r="AS274" s="19">
        <f t="shared" si="107"/>
        <v>1</v>
      </c>
      <c r="AT274" s="19">
        <f t="shared" si="108"/>
        <v>1</v>
      </c>
      <c r="AU274" s="19">
        <f t="shared" si="109"/>
        <v>1</v>
      </c>
      <c r="AV274" s="232">
        <f t="shared" si="89"/>
        <v>0.04</v>
      </c>
      <c r="AW274" s="232">
        <f t="shared" si="90"/>
        <v>0.4</v>
      </c>
      <c r="AX274" s="232">
        <f t="shared" si="91"/>
        <v>0</v>
      </c>
      <c r="AY274" s="232">
        <f t="shared" si="92"/>
        <v>0</v>
      </c>
      <c r="AZ274" s="232">
        <f t="shared" si="93"/>
        <v>0</v>
      </c>
    </row>
    <row r="275" spans="1:52">
      <c r="A275" s="269"/>
      <c r="C275" s="19">
        <v>152</v>
      </c>
      <c r="D275" s="86">
        <f ca="1" t="shared" si="117"/>
        <v>150.746227960798</v>
      </c>
      <c r="E275" s="251">
        <f ca="1" t="shared" si="94"/>
        <v>0.387691677632607</v>
      </c>
      <c r="F275" s="269">
        <f ca="1" t="shared" si="110"/>
        <v>267.059338566963</v>
      </c>
      <c r="G275" s="283">
        <f ca="1" t="shared" si="111"/>
        <v>103.53668299648</v>
      </c>
      <c r="H275" s="279">
        <f ca="1" t="shared" si="112"/>
        <v>0.249926011262545</v>
      </c>
      <c r="I275" s="269">
        <f ca="1">SUM($J$125:J275)/SUM($H$125:H275)</f>
        <v>0.605416075810323</v>
      </c>
      <c r="J275" s="284">
        <f t="shared" si="118"/>
        <v>0.133086853439679</v>
      </c>
      <c r="K275" s="19">
        <f t="shared" si="120"/>
        <v>16100</v>
      </c>
      <c r="L275" s="269">
        <f t="shared" si="113"/>
        <v>1.80499999999998</v>
      </c>
      <c r="M275" s="226">
        <f ca="1" t="shared" si="114"/>
        <v>16.764</v>
      </c>
      <c r="N275" s="280">
        <f ca="1" t="shared" si="119"/>
        <v>0.116839157822866</v>
      </c>
      <c r="O275" s="226">
        <f t="shared" si="123"/>
        <v>6.6</v>
      </c>
      <c r="P275" s="19">
        <f ca="1" t="shared" si="88"/>
        <v>16.4</v>
      </c>
      <c r="Q275" s="226">
        <f ca="1" t="shared" si="122"/>
        <v>2.54</v>
      </c>
      <c r="R275" s="269">
        <f ca="1" t="shared" si="95"/>
        <v>0.481288759681244</v>
      </c>
      <c r="S275" s="266">
        <f ca="1" t="shared" si="96"/>
        <v>45.2146170471524</v>
      </c>
      <c r="T275" s="226">
        <f ca="1">(1+OFFSET('玩法产出(新)'!$C$18,MATCH(X275,'玩法产出(新)'!$B$19:$B$25,0),1)*(1-V275)+OFFSET('玩法产出(新)'!$C$18,1+MATCH(X275,'玩法产出(新)'!$B$19:$B$25,0),1)*(V275))^AA275*(1+OFFSET('玩法产出(新)'!$C$18,MATCH(X275,'玩法产出(新)'!$B$19:$B$25,0),3)*(1-V275)+OFFSET('玩法产出(新)'!$C$18,1+MATCH(X275,'玩法产出(新)'!$B$19:$B$25,0),3)*(V275))^AB275*(1+OFFSET('玩法产出(新)'!$C$18,MATCH(X275,'玩法产出(新)'!$B$19:$B$25,0),4)*(1-V275)+OFFSET('玩法产出(新)'!$C$18,1+MATCH(X275,'玩法产出(新)'!$B$19:$B$25,0),4)*(V275))^AC275*(1+OFFSET('玩法产出(新)'!$C$18,MATCH(X275,'玩法产出(新)'!$B$19:$B$25,0),5)*(1+V275)+OFFSET('玩法产出(新)'!$C$18,1+MATCH(X275,'玩法产出(新)'!$B$19:$B$25,5),1)*(V275))^AD275*(1+OFFSET('玩法产出(新)'!$C$18,MATCH(X275,'玩法产出(新)'!$B$19:$B$25,0),6)*(1+V275)+OFFSET('玩法产出(新)'!$C$18,1+MATCH(X275,'玩法产出(新)'!$B$19:$B$25,0),6)*(V275))^AE275</f>
        <v>21.3096469934169</v>
      </c>
      <c r="U275" s="226">
        <f ca="1" t="shared" si="115"/>
        <v>0.137765666370062</v>
      </c>
      <c r="V275" s="226">
        <f ca="1">COUNTIF($X$124:$X275,X275)/(COUNTIF($X$124:$X$723,X275)+1)</f>
        <v>0.0742268041237113</v>
      </c>
      <c r="W275" s="19">
        <v>30</v>
      </c>
      <c r="X275" s="19" t="s">
        <v>326</v>
      </c>
      <c r="Y275" s="19">
        <f t="shared" si="121"/>
        <v>16360</v>
      </c>
      <c r="Z275" s="19">
        <f ca="1" t="shared" si="97"/>
        <v>1.95562886597938</v>
      </c>
      <c r="AA275" s="282">
        <f ca="1" t="shared" si="98"/>
        <v>13.2118520833333</v>
      </c>
      <c r="AB275" s="282">
        <f ca="1" t="shared" si="99"/>
        <v>12.4572916666667</v>
      </c>
      <c r="AC275" s="282">
        <f ca="1" t="shared" si="100"/>
        <v>3.2997</v>
      </c>
      <c r="AD275" s="282">
        <f ca="1" t="shared" si="101"/>
        <v>0.824925</v>
      </c>
      <c r="AE275" s="282">
        <f ca="1" t="shared" si="102"/>
        <v>0.20623125</v>
      </c>
      <c r="AF275" s="19" t="str">
        <f t="shared" si="103"/>
        <v>粉1</v>
      </c>
      <c r="AG275" s="19">
        <f>IFERROR(_xlfn.XLOOKUP(C275+1,[2]基因升级!$E$141:$E$500,[2]基因升级!$D$141:$D$500)-1,AG274)</f>
        <v>82</v>
      </c>
      <c r="AH275" s="19">
        <v>6</v>
      </c>
      <c r="AI275" s="19">
        <f t="shared" si="104"/>
        <v>8.01559450356522</v>
      </c>
      <c r="AJ275" s="19">
        <f t="shared" si="116"/>
        <v>0</v>
      </c>
      <c r="AK275" s="269">
        <v>1.72</v>
      </c>
      <c r="AL275" s="287">
        <f t="shared" si="124"/>
        <v>7.72</v>
      </c>
      <c r="AM275" s="287">
        <f t="shared" si="125"/>
        <v>2.3</v>
      </c>
      <c r="AQ275" s="19">
        <f t="shared" si="105"/>
        <v>1.68594251957184</v>
      </c>
      <c r="AR275" s="19">
        <f t="shared" si="106"/>
        <v>1.16837616483443</v>
      </c>
      <c r="AS275" s="19">
        <f t="shared" si="107"/>
        <v>1</v>
      </c>
      <c r="AT275" s="19">
        <f t="shared" si="108"/>
        <v>1</v>
      </c>
      <c r="AU275" s="19">
        <f t="shared" si="109"/>
        <v>1</v>
      </c>
      <c r="AV275" s="232">
        <f t="shared" si="89"/>
        <v>0.04</v>
      </c>
      <c r="AW275" s="232">
        <f t="shared" si="90"/>
        <v>0.4</v>
      </c>
      <c r="AX275" s="232">
        <f t="shared" si="91"/>
        <v>0</v>
      </c>
      <c r="AY275" s="232">
        <f t="shared" si="92"/>
        <v>0</v>
      </c>
      <c r="AZ275" s="232">
        <f t="shared" si="93"/>
        <v>0</v>
      </c>
    </row>
    <row r="276" spans="1:52">
      <c r="A276" s="269"/>
      <c r="C276" s="19">
        <v>153</v>
      </c>
      <c r="D276" s="86">
        <f ca="1" t="shared" si="117"/>
        <v>151.132524330854</v>
      </c>
      <c r="E276" s="251">
        <f ca="1" t="shared" si="94"/>
        <v>0.386296370055297</v>
      </c>
      <c r="F276" s="269">
        <f ca="1" t="shared" si="110"/>
        <v>268.666798439272</v>
      </c>
      <c r="G276" s="283">
        <f ca="1" t="shared" si="111"/>
        <v>103.785008991469</v>
      </c>
      <c r="H276" s="279">
        <f ca="1" t="shared" si="112"/>
        <v>0.248325994988491</v>
      </c>
      <c r="I276" s="269">
        <f ca="1">SUM($J$125:J276)/SUM($H$125:H276)</f>
        <v>0.6052248158483</v>
      </c>
      <c r="J276" s="284">
        <f t="shared" si="118"/>
        <v>0.132403232149663</v>
      </c>
      <c r="K276" s="19">
        <f t="shared" si="120"/>
        <v>16200</v>
      </c>
      <c r="L276" s="269">
        <f t="shared" si="113"/>
        <v>1.80999999999998</v>
      </c>
      <c r="M276" s="226">
        <f ca="1" t="shared" si="114"/>
        <v>16.896</v>
      </c>
      <c r="N276" s="280">
        <f ca="1" t="shared" si="119"/>
        <v>0.115922762838821</v>
      </c>
      <c r="O276" s="226">
        <f t="shared" si="123"/>
        <v>6.6</v>
      </c>
      <c r="P276" s="19">
        <f ca="1" t="shared" si="88"/>
        <v>16.6</v>
      </c>
      <c r="Q276" s="226">
        <f ca="1" t="shared" si="122"/>
        <v>2.56</v>
      </c>
      <c r="R276" s="269">
        <f ca="1" t="shared" si="95"/>
        <v>0.482757390735211</v>
      </c>
      <c r="S276" s="266">
        <f ca="1" t="shared" si="96"/>
        <v>45.3525874222192</v>
      </c>
      <c r="T276" s="226">
        <f ca="1">(1+OFFSET('玩法产出(新)'!$C$18,MATCH(X276,'玩法产出(新)'!$B$19:$B$25,0),1)*(1-V276)+OFFSET('玩法产出(新)'!$C$18,1+MATCH(X276,'玩法产出(新)'!$B$19:$B$25,0),1)*(V276))^AA276*(1+OFFSET('玩法产出(新)'!$C$18,MATCH(X276,'玩法产出(新)'!$B$19:$B$25,0),3)*(1-V276)+OFFSET('玩法产出(新)'!$C$18,1+MATCH(X276,'玩法产出(新)'!$B$19:$B$25,0),3)*(V276))^AB276*(1+OFFSET('玩法产出(新)'!$C$18,MATCH(X276,'玩法产出(新)'!$B$19:$B$25,0),4)*(1-V276)+OFFSET('玩法产出(新)'!$C$18,1+MATCH(X276,'玩法产出(新)'!$B$19:$B$25,0),4)*(V276))^AC276*(1+OFFSET('玩法产出(新)'!$C$18,MATCH(X276,'玩法产出(新)'!$B$19:$B$25,0),5)*(1+V276)+OFFSET('玩法产出(新)'!$C$18,1+MATCH(X276,'玩法产出(新)'!$B$19:$B$25,5),1)*(V276))^AD276*(1+OFFSET('玩法产出(新)'!$C$18,MATCH(X276,'玩法产出(新)'!$B$19:$B$25,0),6)*(1+V276)+OFFSET('玩法产出(新)'!$C$18,1+MATCH(X276,'玩法产出(新)'!$B$19:$B$25,0),6)*(V276))^AE276</f>
        <v>21.5095015437528</v>
      </c>
      <c r="U276" s="226">
        <f ca="1" t="shared" si="115"/>
        <v>0.137970375066813</v>
      </c>
      <c r="V276" s="226">
        <f ca="1">COUNTIF($X$124:$X276,X276)/(COUNTIF($X$124:$X$723,X276)+1)</f>
        <v>0.0762886597938144</v>
      </c>
      <c r="W276" s="19">
        <v>30</v>
      </c>
      <c r="X276" s="19" t="s">
        <v>326</v>
      </c>
      <c r="Y276" s="19">
        <f t="shared" si="121"/>
        <v>16460</v>
      </c>
      <c r="Z276" s="19">
        <f ca="1" t="shared" si="97"/>
        <v>1.95661855670103</v>
      </c>
      <c r="AA276" s="282">
        <f ca="1" t="shared" si="98"/>
        <v>13.112090625</v>
      </c>
      <c r="AB276" s="282">
        <f ca="1" t="shared" si="99"/>
        <v>12.5296875</v>
      </c>
      <c r="AC276" s="282">
        <f ca="1" t="shared" si="100"/>
        <v>3.32055</v>
      </c>
      <c r="AD276" s="282">
        <f ca="1" t="shared" si="101"/>
        <v>0.8301375</v>
      </c>
      <c r="AE276" s="282">
        <f ca="1" t="shared" si="102"/>
        <v>0.207534375</v>
      </c>
      <c r="AF276" s="19" t="str">
        <f t="shared" si="103"/>
        <v>粉1</v>
      </c>
      <c r="AG276" s="19">
        <f>IFERROR(_xlfn.XLOOKUP(C276+1,[2]基因升级!$E$141:$E$500,[2]基因升级!$D$141:$D$500)-1,AG275)</f>
        <v>82</v>
      </c>
      <c r="AH276" s="19">
        <v>6</v>
      </c>
      <c r="AI276" s="19">
        <f t="shared" si="104"/>
        <v>8.01559450356522</v>
      </c>
      <c r="AJ276" s="19">
        <f t="shared" si="116"/>
        <v>0</v>
      </c>
      <c r="AK276" s="269">
        <v>1.72</v>
      </c>
      <c r="AL276" s="287">
        <f t="shared" si="124"/>
        <v>7.76</v>
      </c>
      <c r="AM276" s="287">
        <f t="shared" si="125"/>
        <v>2.6</v>
      </c>
      <c r="AQ276" s="19">
        <f t="shared" si="105"/>
        <v>1.69051144301801</v>
      </c>
      <c r="AR276" s="19">
        <f t="shared" si="106"/>
        <v>1.19233370823059</v>
      </c>
      <c r="AS276" s="19">
        <f t="shared" si="107"/>
        <v>1</v>
      </c>
      <c r="AT276" s="19">
        <f t="shared" si="108"/>
        <v>1</v>
      </c>
      <c r="AU276" s="19">
        <f t="shared" si="109"/>
        <v>1</v>
      </c>
      <c r="AV276" s="232">
        <f t="shared" si="89"/>
        <v>0.04</v>
      </c>
      <c r="AW276" s="232">
        <f t="shared" si="90"/>
        <v>0.3</v>
      </c>
      <c r="AX276" s="232">
        <f t="shared" si="91"/>
        <v>0</v>
      </c>
      <c r="AY276" s="232">
        <f t="shared" si="92"/>
        <v>0</v>
      </c>
      <c r="AZ276" s="232">
        <f t="shared" si="93"/>
        <v>0</v>
      </c>
    </row>
    <row r="277" spans="1:52">
      <c r="A277" s="269"/>
      <c r="C277" s="19">
        <v>154</v>
      </c>
      <c r="D277" s="86">
        <f ca="1" t="shared" si="117"/>
        <v>151.517447191082</v>
      </c>
      <c r="E277" s="251">
        <f ca="1" t="shared" si="94"/>
        <v>0.384922860228733</v>
      </c>
      <c r="F277" s="269">
        <f ca="1" t="shared" si="110"/>
        <v>270.266506944483</v>
      </c>
      <c r="G277" s="283">
        <f ca="1" t="shared" si="111"/>
        <v>104.031756877099</v>
      </c>
      <c r="H277" s="279">
        <f ca="1" t="shared" si="112"/>
        <v>0.246747885630242</v>
      </c>
      <c r="I277" s="269">
        <f ca="1">SUM($J$125:J277)/SUM($H$125:H277)</f>
        <v>0.605037531364573</v>
      </c>
      <c r="J277" s="284">
        <f t="shared" si="118"/>
        <v>0.131727254600825</v>
      </c>
      <c r="K277" s="19">
        <f t="shared" si="120"/>
        <v>16300</v>
      </c>
      <c r="L277" s="269">
        <f t="shared" si="113"/>
        <v>1.81499999999998</v>
      </c>
      <c r="M277" s="226">
        <f ca="1" t="shared" si="114"/>
        <v>17.028</v>
      </c>
      <c r="N277" s="280">
        <f ca="1" t="shared" si="119"/>
        <v>0.11502063102941</v>
      </c>
      <c r="O277" s="226">
        <f t="shared" si="123"/>
        <v>6.6</v>
      </c>
      <c r="P277" s="19">
        <f ca="1" t="shared" si="88"/>
        <v>16.8</v>
      </c>
      <c r="Q277" s="226">
        <f ca="1" t="shared" si="122"/>
        <v>2.58</v>
      </c>
      <c r="R277" s="269">
        <f ca="1" t="shared" si="95"/>
        <v>0.484228199656896</v>
      </c>
      <c r="S277" s="266">
        <f ca="1" t="shared" si="96"/>
        <v>45.4907623968177</v>
      </c>
      <c r="T277" s="226">
        <f ca="1">(1+OFFSET('玩法产出(新)'!$C$18,MATCH(X277,'玩法产出(新)'!$B$19:$B$25,0),1)*(1-V277)+OFFSET('玩法产出(新)'!$C$18,1+MATCH(X277,'玩法产出(新)'!$B$19:$B$25,0),1)*(V277))^AA277*(1+OFFSET('玩法产出(新)'!$C$18,MATCH(X277,'玩法产出(新)'!$B$19:$B$25,0),3)*(1-V277)+OFFSET('玩法产出(新)'!$C$18,1+MATCH(X277,'玩法产出(新)'!$B$19:$B$25,0),3)*(V277))^AB277*(1+OFFSET('玩法产出(新)'!$C$18,MATCH(X277,'玩法产出(新)'!$B$19:$B$25,0),4)*(1-V277)+OFFSET('玩法产出(新)'!$C$18,1+MATCH(X277,'玩法产出(新)'!$B$19:$B$25,0),4)*(V277))^AC277*(1+OFFSET('玩法产出(新)'!$C$18,MATCH(X277,'玩法产出(新)'!$B$19:$B$25,0),5)*(1+V277)+OFFSET('玩法产出(新)'!$C$18,1+MATCH(X277,'玩法产出(新)'!$B$19:$B$25,5),1)*(V277))^AD277*(1+OFFSET('玩法产出(新)'!$C$18,MATCH(X277,'玩法产出(新)'!$B$19:$B$25,0),6)*(1+V277)+OFFSET('玩法产出(新)'!$C$18,1+MATCH(X277,'玩法产出(新)'!$B$19:$B$25,0),6)*(V277))^AE277</f>
        <v>21.7115309980657</v>
      </c>
      <c r="U277" s="226">
        <f ca="1" t="shared" si="115"/>
        <v>0.138174974598499</v>
      </c>
      <c r="V277" s="226">
        <f ca="1">COUNTIF($X$124:$X277,X277)/(COUNTIF($X$124:$X$723,X277)+1)</f>
        <v>0.0783505154639175</v>
      </c>
      <c r="W277" s="19">
        <v>30</v>
      </c>
      <c r="X277" s="19" t="s">
        <v>326</v>
      </c>
      <c r="Y277" s="19">
        <f t="shared" si="121"/>
        <v>16560</v>
      </c>
      <c r="Z277" s="19">
        <f ca="1" t="shared" si="97"/>
        <v>1.95760824742268</v>
      </c>
      <c r="AA277" s="282">
        <f ca="1" t="shared" si="98"/>
        <v>13.0123291666667</v>
      </c>
      <c r="AB277" s="282">
        <f ca="1" t="shared" si="99"/>
        <v>12.6020833333333</v>
      </c>
      <c r="AC277" s="282">
        <f ca="1" t="shared" si="100"/>
        <v>3.3414</v>
      </c>
      <c r="AD277" s="282">
        <f ca="1" t="shared" si="101"/>
        <v>0.83535</v>
      </c>
      <c r="AE277" s="282">
        <f ca="1" t="shared" si="102"/>
        <v>0.2088375</v>
      </c>
      <c r="AF277" s="19" t="str">
        <f t="shared" si="103"/>
        <v>粉1</v>
      </c>
      <c r="AG277" s="19">
        <f>IFERROR(_xlfn.XLOOKUP(C277+1,[2]基因升级!$E$141:$E$500,[2]基因升级!$D$141:$D$500)-1,AG276)</f>
        <v>82</v>
      </c>
      <c r="AH277" s="19">
        <v>6</v>
      </c>
      <c r="AI277" s="19">
        <f t="shared" si="104"/>
        <v>8.01559450356522</v>
      </c>
      <c r="AJ277" s="19">
        <f t="shared" si="116"/>
        <v>0</v>
      </c>
      <c r="AK277" s="269">
        <v>1.72</v>
      </c>
      <c r="AL277" s="287">
        <f t="shared" si="124"/>
        <v>7.8</v>
      </c>
      <c r="AM277" s="287">
        <f t="shared" si="125"/>
        <v>2.9</v>
      </c>
      <c r="AQ277" s="19">
        <f t="shared" si="105"/>
        <v>1.69509274829881</v>
      </c>
      <c r="AR277" s="19">
        <f t="shared" si="106"/>
        <v>1.21678250085184</v>
      </c>
      <c r="AS277" s="19">
        <f t="shared" si="107"/>
        <v>1</v>
      </c>
      <c r="AT277" s="19">
        <f t="shared" si="108"/>
        <v>1</v>
      </c>
      <c r="AU277" s="19">
        <f t="shared" si="109"/>
        <v>1</v>
      </c>
      <c r="AV277" s="232">
        <f t="shared" si="89"/>
        <v>0.04</v>
      </c>
      <c r="AW277" s="232">
        <f t="shared" si="90"/>
        <v>0.3</v>
      </c>
      <c r="AX277" s="232">
        <f t="shared" si="91"/>
        <v>0</v>
      </c>
      <c r="AY277" s="232">
        <f t="shared" si="92"/>
        <v>0</v>
      </c>
      <c r="AZ277" s="232">
        <f t="shared" si="93"/>
        <v>0</v>
      </c>
    </row>
    <row r="278" spans="1:52">
      <c r="A278" s="269"/>
      <c r="C278" s="19">
        <v>155</v>
      </c>
      <c r="D278" s="86">
        <f ca="1" t="shared" si="117"/>
        <v>151.901017875023</v>
      </c>
      <c r="E278" s="251">
        <f ca="1" t="shared" si="94"/>
        <v>0.383570683941096</v>
      </c>
      <c r="F278" s="269">
        <f ca="1" t="shared" si="110"/>
        <v>271.858493001869</v>
      </c>
      <c r="G278" s="283">
        <f ca="1" t="shared" si="111"/>
        <v>104.276948095922</v>
      </c>
      <c r="H278" s="279">
        <f ca="1" t="shared" si="112"/>
        <v>0.245191218823365</v>
      </c>
      <c r="I278" s="269">
        <f ca="1">SUM($J$125:J278)/SUM($H$125:H278)</f>
        <v>0.604854123827079</v>
      </c>
      <c r="J278" s="284">
        <f t="shared" si="118"/>
        <v>0.131058786856464</v>
      </c>
      <c r="K278" s="19">
        <f t="shared" si="120"/>
        <v>16400</v>
      </c>
      <c r="L278" s="269">
        <f t="shared" si="113"/>
        <v>1.81999999999998</v>
      </c>
      <c r="M278" s="226">
        <f ca="1" t="shared" si="114"/>
        <v>17.16</v>
      </c>
      <c r="N278" s="280">
        <f ca="1" t="shared" si="119"/>
        <v>0.114132431966908</v>
      </c>
      <c r="O278" s="226">
        <f t="shared" si="123"/>
        <v>6.6</v>
      </c>
      <c r="P278" s="19">
        <f ca="1" t="shared" si="88"/>
        <v>17</v>
      </c>
      <c r="Q278" s="226">
        <f ca="1" t="shared" si="122"/>
        <v>2.6</v>
      </c>
      <c r="R278" s="269">
        <f ca="1" t="shared" si="95"/>
        <v>0.48570118528591</v>
      </c>
      <c r="S278" s="266">
        <f ca="1" t="shared" si="96"/>
        <v>45.6291418619354</v>
      </c>
      <c r="T278" s="226">
        <f ca="1">(1+OFFSET('玩法产出(新)'!$C$18,MATCH(X278,'玩法产出(新)'!$B$19:$B$25,0),1)*(1-V278)+OFFSET('玩法产出(新)'!$C$18,1+MATCH(X278,'玩法产出(新)'!$B$19:$B$25,0),1)*(V278))^AA278*(1+OFFSET('玩法产出(新)'!$C$18,MATCH(X278,'玩法产出(新)'!$B$19:$B$25,0),3)*(1-V278)+OFFSET('玩法产出(新)'!$C$18,1+MATCH(X278,'玩法产出(新)'!$B$19:$B$25,0),3)*(V278))^AB278*(1+OFFSET('玩法产出(新)'!$C$18,MATCH(X278,'玩法产出(新)'!$B$19:$B$25,0),4)*(1-V278)+OFFSET('玩法产出(新)'!$C$18,1+MATCH(X278,'玩法产出(新)'!$B$19:$B$25,0),4)*(V278))^AC278*(1+OFFSET('玩法产出(新)'!$C$18,MATCH(X278,'玩法产出(新)'!$B$19:$B$25,0),5)*(1+V278)+OFFSET('玩法产出(新)'!$C$18,1+MATCH(X278,'玩法产出(新)'!$B$19:$B$25,5),1)*(V278))^AD278*(1+OFFSET('玩法产出(新)'!$C$18,MATCH(X278,'玩法产出(新)'!$B$19:$B$25,0),6)*(1+V278)+OFFSET('玩法产出(新)'!$C$18,1+MATCH(X278,'玩法产出(新)'!$B$19:$B$25,0),6)*(V278))^AE278</f>
        <v>21.9157612423116</v>
      </c>
      <c r="U278" s="226">
        <f ca="1" t="shared" si="115"/>
        <v>0.138379465117723</v>
      </c>
      <c r="V278" s="226">
        <f ca="1">COUNTIF($X$124:$X278,X278)/(COUNTIF($X$124:$X$723,X278)+1)</f>
        <v>0.0804123711340206</v>
      </c>
      <c r="W278" s="19">
        <v>30</v>
      </c>
      <c r="X278" s="19" t="s">
        <v>326</v>
      </c>
      <c r="Y278" s="19">
        <f t="shared" si="121"/>
        <v>16660</v>
      </c>
      <c r="Z278" s="19">
        <f ca="1" t="shared" si="97"/>
        <v>1.95859793814433</v>
      </c>
      <c r="AA278" s="282">
        <f ca="1" t="shared" si="98"/>
        <v>12.9125677083333</v>
      </c>
      <c r="AB278" s="282">
        <f ca="1" t="shared" si="99"/>
        <v>12.6744791666667</v>
      </c>
      <c r="AC278" s="282">
        <f ca="1" t="shared" si="100"/>
        <v>3.36225</v>
      </c>
      <c r="AD278" s="282">
        <f ca="1" t="shared" si="101"/>
        <v>0.8405625</v>
      </c>
      <c r="AE278" s="282">
        <f ca="1" t="shared" si="102"/>
        <v>0.210140625</v>
      </c>
      <c r="AF278" s="19" t="str">
        <f t="shared" si="103"/>
        <v>粉1</v>
      </c>
      <c r="AG278" s="19">
        <f>IFERROR(_xlfn.XLOOKUP(C278+1,[2]基因升级!$E$141:$E$500,[2]基因升级!$D$141:$D$500)-1,AG277)</f>
        <v>82</v>
      </c>
      <c r="AH278" s="19">
        <v>6</v>
      </c>
      <c r="AI278" s="19">
        <f t="shared" si="104"/>
        <v>8.01559450356522</v>
      </c>
      <c r="AJ278" s="19">
        <f t="shared" si="116"/>
        <v>0</v>
      </c>
      <c r="AK278" s="269">
        <v>1.72</v>
      </c>
      <c r="AL278" s="287">
        <f t="shared" si="124"/>
        <v>7.84</v>
      </c>
      <c r="AM278" s="287">
        <f t="shared" si="125"/>
        <v>3.2</v>
      </c>
      <c r="AQ278" s="19">
        <f t="shared" si="105"/>
        <v>1.69968646896914</v>
      </c>
      <c r="AR278" s="19">
        <f t="shared" si="106"/>
        <v>1.24173261575938</v>
      </c>
      <c r="AS278" s="19">
        <f t="shared" si="107"/>
        <v>1</v>
      </c>
      <c r="AT278" s="19">
        <f t="shared" si="108"/>
        <v>1</v>
      </c>
      <c r="AU278" s="19">
        <f t="shared" si="109"/>
        <v>1</v>
      </c>
      <c r="AV278" s="232">
        <f t="shared" si="89"/>
        <v>0.04</v>
      </c>
      <c r="AW278" s="232">
        <f t="shared" si="90"/>
        <v>0.3</v>
      </c>
      <c r="AX278" s="232">
        <f t="shared" si="91"/>
        <v>0</v>
      </c>
      <c r="AY278" s="232">
        <f t="shared" si="92"/>
        <v>0</v>
      </c>
      <c r="AZ278" s="232">
        <f t="shared" si="93"/>
        <v>0</v>
      </c>
    </row>
    <row r="279" spans="1:52">
      <c r="A279" s="269"/>
      <c r="C279" s="19">
        <v>156</v>
      </c>
      <c r="D279" s="86">
        <f ca="1" t="shared" si="117"/>
        <v>152.28325726532</v>
      </c>
      <c r="E279" s="251">
        <f ca="1" t="shared" si="94"/>
        <v>0.382239390296845</v>
      </c>
      <c r="F279" s="269">
        <f ca="1" t="shared" si="110"/>
        <v>273.442785575479</v>
      </c>
      <c r="G279" s="283">
        <f ca="1" t="shared" si="111"/>
        <v>104.520603639442</v>
      </c>
      <c r="H279" s="279">
        <f ca="1" t="shared" si="112"/>
        <v>0.243655543519793</v>
      </c>
      <c r="I279" s="269">
        <f ca="1">SUM($J$125:J279)/SUM($H$125:H279)</f>
        <v>0.604674497782919</v>
      </c>
      <c r="J279" s="284">
        <f t="shared" si="118"/>
        <v>0.130397698167847</v>
      </c>
      <c r="K279" s="19">
        <f t="shared" si="120"/>
        <v>16500</v>
      </c>
      <c r="L279" s="269">
        <f t="shared" si="113"/>
        <v>1.82499999999998</v>
      </c>
      <c r="M279" s="226">
        <f ca="1" t="shared" si="114"/>
        <v>17.292</v>
      </c>
      <c r="N279" s="280">
        <f ca="1" t="shared" si="119"/>
        <v>0.113257845351946</v>
      </c>
      <c r="O279" s="226">
        <f t="shared" si="123"/>
        <v>6.6</v>
      </c>
      <c r="P279" s="19">
        <f ca="1" t="shared" si="88"/>
        <v>17.2</v>
      </c>
      <c r="Q279" s="226">
        <f ca="1" t="shared" si="122"/>
        <v>2.62</v>
      </c>
      <c r="R279" s="269">
        <f ca="1" t="shared" si="95"/>
        <v>0.487176346463492</v>
      </c>
      <c r="S279" s="266">
        <f ca="1" t="shared" si="96"/>
        <v>45.7677257087125</v>
      </c>
      <c r="T279" s="226">
        <f ca="1">(1+OFFSET('玩法产出(新)'!$C$18,MATCH(X279,'玩法产出(新)'!$B$19:$B$25,0),1)*(1-V279)+OFFSET('玩法产出(新)'!$C$18,1+MATCH(X279,'玩法产出(新)'!$B$19:$B$25,0),1)*(V279))^AA279*(1+OFFSET('玩法产出(新)'!$C$18,MATCH(X279,'玩法产出(新)'!$B$19:$B$25,0),3)*(1-V279)+OFFSET('玩法产出(新)'!$C$18,1+MATCH(X279,'玩法产出(新)'!$B$19:$B$25,0),3)*(V279))^AB279*(1+OFFSET('玩法产出(新)'!$C$18,MATCH(X279,'玩法产出(新)'!$B$19:$B$25,0),4)*(1-V279)+OFFSET('玩法产出(新)'!$C$18,1+MATCH(X279,'玩法产出(新)'!$B$19:$B$25,0),4)*(V279))^AC279*(1+OFFSET('玩法产出(新)'!$C$18,MATCH(X279,'玩法产出(新)'!$B$19:$B$25,0),5)*(1+V279)+OFFSET('玩法产出(新)'!$C$18,1+MATCH(X279,'玩法产出(新)'!$B$19:$B$25,5),1)*(V279))^AD279*(1+OFFSET('玩法产出(新)'!$C$18,MATCH(X279,'玩法产出(新)'!$B$19:$B$25,0),6)*(1+V279)+OFFSET('玩法产出(新)'!$C$18,1+MATCH(X279,'玩法产出(新)'!$B$19:$B$25,0),6)*(V279))^AE279</f>
        <v>22.1222184932526</v>
      </c>
      <c r="U279" s="226">
        <f ca="1" t="shared" si="115"/>
        <v>0.138583846777052</v>
      </c>
      <c r="V279" s="226">
        <f ca="1">COUNTIF($X$124:$X279,X279)/(COUNTIF($X$124:$X$723,X279)+1)</f>
        <v>0.0824742268041237</v>
      </c>
      <c r="W279" s="19">
        <v>30</v>
      </c>
      <c r="X279" s="19" t="s">
        <v>326</v>
      </c>
      <c r="Y279" s="19">
        <f t="shared" si="121"/>
        <v>16760</v>
      </c>
      <c r="Z279" s="19">
        <f ca="1" t="shared" si="97"/>
        <v>1.95958762886598</v>
      </c>
      <c r="AA279" s="282">
        <f ca="1" t="shared" si="98"/>
        <v>12.81280625</v>
      </c>
      <c r="AB279" s="282">
        <f ca="1" t="shared" si="99"/>
        <v>12.746875</v>
      </c>
      <c r="AC279" s="282">
        <f ca="1" t="shared" si="100"/>
        <v>3.3831</v>
      </c>
      <c r="AD279" s="282">
        <f ca="1" t="shared" si="101"/>
        <v>0.845775</v>
      </c>
      <c r="AE279" s="282">
        <f ca="1" t="shared" si="102"/>
        <v>0.21144375</v>
      </c>
      <c r="AF279" s="19" t="str">
        <f t="shared" si="103"/>
        <v>粉1</v>
      </c>
      <c r="AG279" s="19">
        <f>IFERROR(_xlfn.XLOOKUP(C279+1,[2]基因升级!$E$141:$E$500,[2]基因升级!$D$141:$D$500)-1,AG278)</f>
        <v>83</v>
      </c>
      <c r="AH279" s="19">
        <v>6</v>
      </c>
      <c r="AI279" s="19">
        <f t="shared" si="104"/>
        <v>8.01559450356522</v>
      </c>
      <c r="AJ279" s="19">
        <f t="shared" si="116"/>
        <v>0</v>
      </c>
      <c r="AK279" s="269">
        <v>1.72</v>
      </c>
      <c r="AL279" s="287">
        <f t="shared" si="124"/>
        <v>7.88</v>
      </c>
      <c r="AM279" s="287">
        <f t="shared" si="125"/>
        <v>3.4</v>
      </c>
      <c r="AQ279" s="19">
        <f t="shared" si="105"/>
        <v>1.70429263867485</v>
      </c>
      <c r="AR279" s="19">
        <f t="shared" si="106"/>
        <v>1.25864960580211</v>
      </c>
      <c r="AS279" s="19">
        <f t="shared" si="107"/>
        <v>1</v>
      </c>
      <c r="AT279" s="19">
        <f t="shared" si="108"/>
        <v>1</v>
      </c>
      <c r="AU279" s="19">
        <f t="shared" si="109"/>
        <v>1</v>
      </c>
      <c r="AV279" s="232">
        <f t="shared" si="89"/>
        <v>0.04</v>
      </c>
      <c r="AW279" s="232">
        <f t="shared" si="90"/>
        <v>0.2</v>
      </c>
      <c r="AX279" s="232">
        <f t="shared" si="91"/>
        <v>0</v>
      </c>
      <c r="AY279" s="232">
        <f t="shared" si="92"/>
        <v>0</v>
      </c>
      <c r="AZ279" s="232">
        <f t="shared" si="93"/>
        <v>0</v>
      </c>
    </row>
    <row r="280" spans="1:52">
      <c r="A280" s="269"/>
      <c r="C280" s="19">
        <v>157</v>
      </c>
      <c r="D280" s="86">
        <f ca="1" t="shared" si="117"/>
        <v>152.664185806556</v>
      </c>
      <c r="E280" s="251">
        <f ca="1" t="shared" si="94"/>
        <v>0.380928541235453</v>
      </c>
      <c r="F280" s="269">
        <f ca="1" t="shared" si="110"/>
        <v>275.019413670542</v>
      </c>
      <c r="G280" s="283">
        <f ca="1" t="shared" si="111"/>
        <v>104.762744060949</v>
      </c>
      <c r="H280" s="279">
        <f ca="1" t="shared" si="112"/>
        <v>0.242140421507187</v>
      </c>
      <c r="I280" s="269">
        <f ca="1">SUM($J$125:J280)/SUM($H$125:H280)</f>
        <v>0.604498560740844</v>
      </c>
      <c r="J280" s="284">
        <f t="shared" si="118"/>
        <v>0.12974386087884</v>
      </c>
      <c r="K280" s="19">
        <f t="shared" si="120"/>
        <v>16600</v>
      </c>
      <c r="L280" s="269">
        <f t="shared" si="113"/>
        <v>1.82999999999998</v>
      </c>
      <c r="M280" s="226">
        <f ca="1" t="shared" si="114"/>
        <v>17.424</v>
      </c>
      <c r="N280" s="280">
        <f ca="1" t="shared" si="119"/>
        <v>0.112396560628341</v>
      </c>
      <c r="O280" s="226">
        <f t="shared" si="123"/>
        <v>6.6</v>
      </c>
      <c r="P280" s="19">
        <f ca="1" t="shared" si="88"/>
        <v>17.4</v>
      </c>
      <c r="Q280" s="226">
        <f ca="1" t="shared" si="122"/>
        <v>2.64</v>
      </c>
      <c r="R280" s="269">
        <f ca="1" t="shared" si="95"/>
        <v>0.488653682032493</v>
      </c>
      <c r="S280" s="266">
        <f ca="1" t="shared" si="96"/>
        <v>45.9065138284407</v>
      </c>
      <c r="T280" s="226">
        <f ca="1">(1+OFFSET('玩法产出(新)'!$C$18,MATCH(X280,'玩法产出(新)'!$B$19:$B$25,0),1)*(1-V280)+OFFSET('玩法产出(新)'!$C$18,1+MATCH(X280,'玩法产出(新)'!$B$19:$B$25,0),1)*(V280))^AA280*(1+OFFSET('玩法产出(新)'!$C$18,MATCH(X280,'玩法产出(新)'!$B$19:$B$25,0),3)*(1-V280)+OFFSET('玩法产出(新)'!$C$18,1+MATCH(X280,'玩法产出(新)'!$B$19:$B$25,0),3)*(V280))^AB280*(1+OFFSET('玩法产出(新)'!$C$18,MATCH(X280,'玩法产出(新)'!$B$19:$B$25,0),4)*(1-V280)+OFFSET('玩法产出(新)'!$C$18,1+MATCH(X280,'玩法产出(新)'!$B$19:$B$25,0),4)*(V280))^AC280*(1+OFFSET('玩法产出(新)'!$C$18,MATCH(X280,'玩法产出(新)'!$B$19:$B$25,0),5)*(1+V280)+OFFSET('玩法产出(新)'!$C$18,1+MATCH(X280,'玩法产出(新)'!$B$19:$B$25,5),1)*(V280))^AD280*(1+OFFSET('玩法产出(新)'!$C$18,MATCH(X280,'玩法产出(新)'!$B$19:$B$25,0),6)*(1+V280)+OFFSET('玩法产出(新)'!$C$18,1+MATCH(X280,'玩法产出(新)'!$B$19:$B$25,0),6)*(V280))^AE280</f>
        <v>22.3309293029359</v>
      </c>
      <c r="U280" s="226">
        <f ca="1" t="shared" si="115"/>
        <v>0.138788119728273</v>
      </c>
      <c r="V280" s="226">
        <f ca="1">COUNTIF($X$124:$X280,X280)/(COUNTIF($X$124:$X$723,X280)+1)</f>
        <v>0.0845360824742268</v>
      </c>
      <c r="W280" s="19">
        <v>30</v>
      </c>
      <c r="X280" s="19" t="s">
        <v>326</v>
      </c>
      <c r="Y280" s="19">
        <f t="shared" si="121"/>
        <v>16860</v>
      </c>
      <c r="Z280" s="19">
        <f ca="1" t="shared" si="97"/>
        <v>1.96057731958763</v>
      </c>
      <c r="AA280" s="282">
        <f ca="1" t="shared" si="98"/>
        <v>12.7130447916667</v>
      </c>
      <c r="AB280" s="282">
        <f ca="1" t="shared" si="99"/>
        <v>12.8192708333333</v>
      </c>
      <c r="AC280" s="282">
        <f ca="1" t="shared" si="100"/>
        <v>3.40395</v>
      </c>
      <c r="AD280" s="282">
        <f ca="1" t="shared" si="101"/>
        <v>0.8509875</v>
      </c>
      <c r="AE280" s="282">
        <f ca="1" t="shared" si="102"/>
        <v>0.212746875</v>
      </c>
      <c r="AF280" s="19" t="str">
        <f t="shared" si="103"/>
        <v>粉1</v>
      </c>
      <c r="AG280" s="19">
        <f>IFERROR(_xlfn.XLOOKUP(C280+1,[2]基因升级!$E$141:$E$500,[2]基因升级!$D$141:$D$500)-1,AG279)</f>
        <v>83</v>
      </c>
      <c r="AH280" s="19">
        <v>6</v>
      </c>
      <c r="AI280" s="19">
        <f t="shared" si="104"/>
        <v>8.01559450356522</v>
      </c>
      <c r="AJ280" s="19">
        <f t="shared" si="116"/>
        <v>0</v>
      </c>
      <c r="AK280" s="269">
        <v>1.72</v>
      </c>
      <c r="AL280" s="287">
        <f t="shared" si="124"/>
        <v>7.92</v>
      </c>
      <c r="AM280" s="287">
        <f t="shared" si="125"/>
        <v>3.6</v>
      </c>
      <c r="AQ280" s="19">
        <f t="shared" si="105"/>
        <v>1.70891129115296</v>
      </c>
      <c r="AR280" s="19">
        <f t="shared" si="106"/>
        <v>1.27579706780673</v>
      </c>
      <c r="AS280" s="19">
        <f t="shared" si="107"/>
        <v>1</v>
      </c>
      <c r="AT280" s="19">
        <f t="shared" si="108"/>
        <v>1</v>
      </c>
      <c r="AU280" s="19">
        <f t="shared" si="109"/>
        <v>1</v>
      </c>
      <c r="AV280" s="232">
        <f t="shared" si="89"/>
        <v>0.04</v>
      </c>
      <c r="AW280" s="232">
        <f t="shared" si="90"/>
        <v>0.2</v>
      </c>
      <c r="AX280" s="232">
        <f t="shared" si="91"/>
        <v>0</v>
      </c>
      <c r="AY280" s="232">
        <f t="shared" si="92"/>
        <v>0</v>
      </c>
      <c r="AZ280" s="232">
        <f t="shared" si="93"/>
        <v>0</v>
      </c>
    </row>
    <row r="281" spans="1:52">
      <c r="A281" s="269"/>
      <c r="C281" s="19">
        <v>158</v>
      </c>
      <c r="D281" s="86">
        <f ca="1" t="shared" si="117"/>
        <v>153.043823517628</v>
      </c>
      <c r="E281" s="251">
        <f ca="1" t="shared" si="94"/>
        <v>0.379637711072618</v>
      </c>
      <c r="F281" s="269">
        <f ca="1" t="shared" si="110"/>
        <v>276.588406328826</v>
      </c>
      <c r="G281" s="283">
        <f ca="1" t="shared" si="111"/>
        <v>105.003389487899</v>
      </c>
      <c r="H281" s="279">
        <f ca="1" t="shared" si="112"/>
        <v>0.240645426949385</v>
      </c>
      <c r="I281" s="269">
        <f ca="1">SUM($J$125:J281)/SUM($H$125:H281)</f>
        <v>0.604326223059062</v>
      </c>
      <c r="J281" s="284">
        <f t="shared" si="118"/>
        <v>0.129097150333955</v>
      </c>
      <c r="K281" s="19">
        <f t="shared" si="120"/>
        <v>16700</v>
      </c>
      <c r="L281" s="269">
        <f t="shared" si="113"/>
        <v>1.83499999999998</v>
      </c>
      <c r="M281" s="226">
        <f ca="1" t="shared" si="114"/>
        <v>17.556</v>
      </c>
      <c r="N281" s="280">
        <f ca="1" t="shared" si="119"/>
        <v>0.111548276615437</v>
      </c>
      <c r="O281" s="226">
        <f t="shared" si="123"/>
        <v>6.6</v>
      </c>
      <c r="P281" s="19">
        <f ca="1" t="shared" si="88"/>
        <v>17.6</v>
      </c>
      <c r="Q281" s="226">
        <f ca="1" t="shared" si="122"/>
        <v>2.66</v>
      </c>
      <c r="R281" s="269">
        <f ca="1" t="shared" si="95"/>
        <v>0.490133190837382</v>
      </c>
      <c r="S281" s="266">
        <f ca="1" t="shared" si="96"/>
        <v>46.045506112564</v>
      </c>
      <c r="T281" s="226">
        <f ca="1">(1+OFFSET('玩法产出(新)'!$C$18,MATCH(X281,'玩法产出(新)'!$B$19:$B$25,0),1)*(1-V281)+OFFSET('玩法产出(新)'!$C$18,1+MATCH(X281,'玩法产出(新)'!$B$19:$B$25,0),1)*(V281))^AA281*(1+OFFSET('玩法产出(新)'!$C$18,MATCH(X281,'玩法产出(新)'!$B$19:$B$25,0),3)*(1-V281)+OFFSET('玩法产出(新)'!$C$18,1+MATCH(X281,'玩法产出(新)'!$B$19:$B$25,0),3)*(V281))^AB281*(1+OFFSET('玩法产出(新)'!$C$18,MATCH(X281,'玩法产出(新)'!$B$19:$B$25,0),4)*(1-V281)+OFFSET('玩法产出(新)'!$C$18,1+MATCH(X281,'玩法产出(新)'!$B$19:$B$25,0),4)*(V281))^AC281*(1+OFFSET('玩法产出(新)'!$C$18,MATCH(X281,'玩法产出(新)'!$B$19:$B$25,0),5)*(1+V281)+OFFSET('玩法产出(新)'!$C$18,1+MATCH(X281,'玩法产出(新)'!$B$19:$B$25,5),1)*(V281))^AD281*(1+OFFSET('玩法产出(新)'!$C$18,MATCH(X281,'玩法产出(新)'!$B$19:$B$25,0),6)*(1+V281)+OFFSET('玩法产出(新)'!$C$18,1+MATCH(X281,'玩法产出(新)'!$B$19:$B$25,0),6)*(V281))^AE281</f>
        <v>22.5419205632359</v>
      </c>
      <c r="U281" s="226">
        <f ca="1" t="shared" si="115"/>
        <v>0.138992284123226</v>
      </c>
      <c r="V281" s="226">
        <f ca="1">COUNTIF($X$124:$X281,X281)/(COUNTIF($X$124:$X$723,X281)+1)</f>
        <v>0.0865979381443299</v>
      </c>
      <c r="W281" s="19">
        <v>30</v>
      </c>
      <c r="X281" s="19" t="s">
        <v>326</v>
      </c>
      <c r="Y281" s="19">
        <f t="shared" si="121"/>
        <v>16960</v>
      </c>
      <c r="Z281" s="19">
        <f ca="1" t="shared" si="97"/>
        <v>1.96156701030928</v>
      </c>
      <c r="AA281" s="282">
        <f ca="1" t="shared" si="98"/>
        <v>12.6132833333333</v>
      </c>
      <c r="AB281" s="282">
        <f ca="1" t="shared" si="99"/>
        <v>12.8916666666667</v>
      </c>
      <c r="AC281" s="282">
        <f ca="1" t="shared" si="100"/>
        <v>3.4248</v>
      </c>
      <c r="AD281" s="282">
        <f ca="1" t="shared" si="101"/>
        <v>0.8562</v>
      </c>
      <c r="AE281" s="282">
        <f ca="1" t="shared" si="102"/>
        <v>0.21405</v>
      </c>
      <c r="AF281" s="19" t="str">
        <f t="shared" si="103"/>
        <v>粉1</v>
      </c>
      <c r="AG281" s="19">
        <f>IFERROR(_xlfn.XLOOKUP(C281+1,[2]基因升级!$E$141:$E$500,[2]基因升级!$D$141:$D$500)-1,AG280)</f>
        <v>83</v>
      </c>
      <c r="AH281" s="19">
        <v>6</v>
      </c>
      <c r="AI281" s="19">
        <f t="shared" si="104"/>
        <v>8.01559450356522</v>
      </c>
      <c r="AJ281" s="19">
        <f t="shared" si="116"/>
        <v>0</v>
      </c>
      <c r="AK281" s="269">
        <v>1.72</v>
      </c>
      <c r="AL281" s="287">
        <f t="shared" si="124"/>
        <v>7.96</v>
      </c>
      <c r="AM281" s="287">
        <f t="shared" si="125"/>
        <v>3.8</v>
      </c>
      <c r="AQ281" s="19">
        <f t="shared" si="105"/>
        <v>1.71354246023194</v>
      </c>
      <c r="AR281" s="19">
        <f t="shared" si="106"/>
        <v>1.29317814165364</v>
      </c>
      <c r="AS281" s="19">
        <f t="shared" si="107"/>
        <v>1</v>
      </c>
      <c r="AT281" s="19">
        <f t="shared" si="108"/>
        <v>1</v>
      </c>
      <c r="AU281" s="19">
        <f t="shared" si="109"/>
        <v>1</v>
      </c>
      <c r="AV281" s="232">
        <f t="shared" si="89"/>
        <v>0.04</v>
      </c>
      <c r="AW281" s="232">
        <f t="shared" si="90"/>
        <v>0.2</v>
      </c>
      <c r="AX281" s="232">
        <f t="shared" si="91"/>
        <v>0</v>
      </c>
      <c r="AY281" s="232">
        <f t="shared" si="92"/>
        <v>0</v>
      </c>
      <c r="AZ281" s="232">
        <f t="shared" si="93"/>
        <v>0</v>
      </c>
    </row>
    <row r="282" spans="1:52">
      <c r="A282" s="269"/>
      <c r="C282" s="19">
        <v>159</v>
      </c>
      <c r="D282" s="86">
        <f ca="1" t="shared" si="117"/>
        <v>153.422190003688</v>
      </c>
      <c r="E282" s="251">
        <f ca="1" t="shared" si="94"/>
        <v>0.378366486059814</v>
      </c>
      <c r="F282" s="269">
        <f ca="1" t="shared" si="110"/>
        <v>278.149792625154</v>
      </c>
      <c r="G282" s="283">
        <f ca="1" t="shared" si="111"/>
        <v>105.242559633845</v>
      </c>
      <c r="H282" s="279">
        <f ca="1" t="shared" si="112"/>
        <v>0.239170145946446</v>
      </c>
      <c r="I282" s="269">
        <f ca="1">SUM($J$125:J282)/SUM($H$125:H282)</f>
        <v>0.604157397838063</v>
      </c>
      <c r="J282" s="284">
        <f t="shared" si="118"/>
        <v>0.128457444789603</v>
      </c>
      <c r="K282" s="19">
        <f t="shared" si="120"/>
        <v>16800</v>
      </c>
      <c r="L282" s="269">
        <f t="shared" si="113"/>
        <v>1.83999999999998</v>
      </c>
      <c r="M282" s="226">
        <f ca="1" t="shared" si="114"/>
        <v>17.688</v>
      </c>
      <c r="N282" s="280">
        <f ca="1" t="shared" si="119"/>
        <v>0.110712701156842</v>
      </c>
      <c r="O282" s="226">
        <f t="shared" si="123"/>
        <v>6.6</v>
      </c>
      <c r="P282" s="19">
        <f ca="1" t="shared" si="88"/>
        <v>17.8</v>
      </c>
      <c r="Q282" s="226">
        <f ca="1" t="shared" si="122"/>
        <v>2.68</v>
      </c>
      <c r="R282" s="269">
        <f ca="1" t="shared" si="95"/>
        <v>0.491614871724239</v>
      </c>
      <c r="S282" s="266">
        <f ca="1" t="shared" si="96"/>
        <v>46.1847024526773</v>
      </c>
      <c r="T282" s="226">
        <f ca="1">(1+OFFSET('玩法产出(新)'!$C$18,MATCH(X282,'玩法产出(新)'!$B$19:$B$25,0),1)*(1-V282)+OFFSET('玩法产出(新)'!$C$18,1+MATCH(X282,'玩法产出(新)'!$B$19:$B$25,0),1)*(V282))^AA282*(1+OFFSET('玩法产出(新)'!$C$18,MATCH(X282,'玩法产出(新)'!$B$19:$B$25,0),3)*(1-V282)+OFFSET('玩法产出(新)'!$C$18,1+MATCH(X282,'玩法产出(新)'!$B$19:$B$25,0),3)*(V282))^AB282*(1+OFFSET('玩法产出(新)'!$C$18,MATCH(X282,'玩法产出(新)'!$B$19:$B$25,0),4)*(1-V282)+OFFSET('玩法产出(新)'!$C$18,1+MATCH(X282,'玩法产出(新)'!$B$19:$B$25,0),4)*(V282))^AC282*(1+OFFSET('玩法产出(新)'!$C$18,MATCH(X282,'玩法产出(新)'!$B$19:$B$25,0),5)*(1+V282)+OFFSET('玩法产出(新)'!$C$18,1+MATCH(X282,'玩法产出(新)'!$B$19:$B$25,5),1)*(V282))^AD282*(1+OFFSET('玩法产出(新)'!$C$18,MATCH(X282,'玩法产出(新)'!$B$19:$B$25,0),6)*(1+V282)+OFFSET('玩法产出(新)'!$C$18,1+MATCH(X282,'玩法产出(新)'!$B$19:$B$25,0),6)*(V282))^AE282</f>
        <v>22.7552195104618</v>
      </c>
      <c r="U282" s="226">
        <f ca="1" t="shared" si="115"/>
        <v>0.139196340113368</v>
      </c>
      <c r="V282" s="226">
        <f ca="1">COUNTIF($X$124:$X282,X282)/(COUNTIF($X$124:$X$723,X282)+1)</f>
        <v>0.088659793814433</v>
      </c>
      <c r="W282" s="19">
        <v>30</v>
      </c>
      <c r="X282" s="19" t="s">
        <v>326</v>
      </c>
      <c r="Y282" s="19">
        <f t="shared" si="121"/>
        <v>17060</v>
      </c>
      <c r="Z282" s="19">
        <f ca="1" t="shared" si="97"/>
        <v>1.96255670103093</v>
      </c>
      <c r="AA282" s="282">
        <f ca="1" t="shared" si="98"/>
        <v>12.513521875</v>
      </c>
      <c r="AB282" s="282">
        <f ca="1" t="shared" si="99"/>
        <v>12.9640625</v>
      </c>
      <c r="AC282" s="282">
        <f ca="1" t="shared" si="100"/>
        <v>3.44565</v>
      </c>
      <c r="AD282" s="282">
        <f ca="1" t="shared" si="101"/>
        <v>0.8614125</v>
      </c>
      <c r="AE282" s="282">
        <f ca="1" t="shared" si="102"/>
        <v>0.215353125</v>
      </c>
      <c r="AF282" s="19" t="str">
        <f t="shared" si="103"/>
        <v>粉1</v>
      </c>
      <c r="AG282" s="19">
        <f>IFERROR(_xlfn.XLOOKUP(C282+1,[2]基因升级!$E$141:$E$500,[2]基因升级!$D$141:$D$500)-1,AG281)</f>
        <v>83</v>
      </c>
      <c r="AH282" s="19">
        <v>6</v>
      </c>
      <c r="AI282" s="19">
        <f t="shared" si="104"/>
        <v>8.01559450356522</v>
      </c>
      <c r="AJ282" s="19">
        <f t="shared" si="116"/>
        <v>0</v>
      </c>
      <c r="AK282" s="269">
        <v>1.72</v>
      </c>
      <c r="AL282" s="287">
        <f t="shared" si="124"/>
        <v>8</v>
      </c>
      <c r="AM282" s="287">
        <f t="shared" si="125"/>
        <v>4</v>
      </c>
      <c r="AQ282" s="19">
        <f t="shared" si="105"/>
        <v>1.71818617983192</v>
      </c>
      <c r="AR282" s="19">
        <f t="shared" si="106"/>
        <v>1.31079601</v>
      </c>
      <c r="AS282" s="19">
        <f t="shared" si="107"/>
        <v>1</v>
      </c>
      <c r="AT282" s="19">
        <f t="shared" si="108"/>
        <v>1</v>
      </c>
      <c r="AU282" s="19">
        <f t="shared" si="109"/>
        <v>1</v>
      </c>
      <c r="AV282" s="232">
        <f t="shared" si="89"/>
        <v>0.04</v>
      </c>
      <c r="AW282" s="232">
        <f t="shared" si="90"/>
        <v>0.2</v>
      </c>
      <c r="AX282" s="232">
        <f t="shared" si="91"/>
        <v>0</v>
      </c>
      <c r="AY282" s="232">
        <f t="shared" si="92"/>
        <v>0</v>
      </c>
      <c r="AZ282" s="232">
        <f t="shared" si="93"/>
        <v>0</v>
      </c>
    </row>
    <row r="283" spans="1:52">
      <c r="A283" s="269"/>
      <c r="C283" s="19">
        <v>160</v>
      </c>
      <c r="D283" s="86">
        <f ca="1" t="shared" si="117"/>
        <v>153.799304467651</v>
      </c>
      <c r="E283" s="251">
        <f ca="1" t="shared" si="94"/>
        <v>0.377114463963395</v>
      </c>
      <c r="F283" s="269">
        <f ca="1" t="shared" si="110"/>
        <v>279.703601663493</v>
      </c>
      <c r="G283" s="283">
        <f ca="1" t="shared" si="111"/>
        <v>105.480273809959</v>
      </c>
      <c r="H283" s="279">
        <f ca="1" t="shared" si="112"/>
        <v>0.237714176113855</v>
      </c>
      <c r="I283" s="269">
        <f ca="1">SUM($J$125:J283)/SUM($H$125:H283)</f>
        <v>0.603992000818225</v>
      </c>
      <c r="J283" s="284">
        <f t="shared" si="118"/>
        <v>0.127824625328685</v>
      </c>
      <c r="K283" s="19">
        <f t="shared" si="120"/>
        <v>16900</v>
      </c>
      <c r="L283" s="269">
        <f t="shared" si="113"/>
        <v>1.84499999999998</v>
      </c>
      <c r="M283" s="226">
        <f ca="1" t="shared" si="114"/>
        <v>17.82</v>
      </c>
      <c r="N283" s="280">
        <f ca="1" t="shared" si="119"/>
        <v>0.109889550785155</v>
      </c>
      <c r="O283" s="226">
        <f t="shared" si="123"/>
        <v>6.6</v>
      </c>
      <c r="P283" s="19">
        <f ca="1" t="shared" si="88"/>
        <v>18</v>
      </c>
      <c r="Q283" s="226">
        <f ca="1" t="shared" si="122"/>
        <v>2.7</v>
      </c>
      <c r="R283" s="269">
        <f ca="1" t="shared" si="95"/>
        <v>0.493098723540751</v>
      </c>
      <c r="S283" s="266">
        <f ca="1" t="shared" si="96"/>
        <v>46.3241027405269</v>
      </c>
      <c r="T283" s="226">
        <f ca="1">(1+OFFSET('玩法产出(新)'!$C$18,MATCH(X283,'玩法产出(新)'!$B$19:$B$25,0),1)*(1-V283)+OFFSET('玩法产出(新)'!$C$18,1+MATCH(X283,'玩法产出(新)'!$B$19:$B$25,0),1)*(V283))^AA283*(1+OFFSET('玩法产出(新)'!$C$18,MATCH(X283,'玩法产出(新)'!$B$19:$B$25,0),3)*(1-V283)+OFFSET('玩法产出(新)'!$C$18,1+MATCH(X283,'玩法产出(新)'!$B$19:$B$25,0),3)*(V283))^AB283*(1+OFFSET('玩法产出(新)'!$C$18,MATCH(X283,'玩法产出(新)'!$B$19:$B$25,0),4)*(1-V283)+OFFSET('玩法产出(新)'!$C$18,1+MATCH(X283,'玩法产出(新)'!$B$19:$B$25,0),4)*(V283))^AC283*(1+OFFSET('玩法产出(新)'!$C$18,MATCH(X283,'玩法产出(新)'!$B$19:$B$25,0),5)*(1+V283)+OFFSET('玩法产出(新)'!$C$18,1+MATCH(X283,'玩法产出(新)'!$B$19:$B$25,5),1)*(V283))^AD283*(1+OFFSET('玩法产出(新)'!$C$18,MATCH(X283,'玩法产出(新)'!$B$19:$B$25,0),6)*(1+V283)+OFFSET('玩法产出(新)'!$C$18,1+MATCH(X283,'玩法产出(新)'!$B$19:$B$25,0),6)*(V283))^AE283</f>
        <v>22.9708537300297</v>
      </c>
      <c r="U283" s="226">
        <f ca="1" t="shared" si="115"/>
        <v>0.139400287849555</v>
      </c>
      <c r="V283" s="226">
        <f ca="1">COUNTIF($X$124:$X283,X283)/(COUNTIF($X$124:$X$723,X283)+1)</f>
        <v>0.0907216494845361</v>
      </c>
      <c r="W283" s="19">
        <v>30</v>
      </c>
      <c r="X283" s="19" t="s">
        <v>326</v>
      </c>
      <c r="Y283" s="19">
        <f t="shared" si="121"/>
        <v>17160</v>
      </c>
      <c r="Z283" s="19">
        <f ca="1" t="shared" si="97"/>
        <v>1.96354639175258</v>
      </c>
      <c r="AA283" s="282">
        <f ca="1" t="shared" si="98"/>
        <v>12.4137604166667</v>
      </c>
      <c r="AB283" s="282">
        <f ca="1" t="shared" si="99"/>
        <v>13.0364583333333</v>
      </c>
      <c r="AC283" s="282">
        <f ca="1" t="shared" si="100"/>
        <v>3.4665</v>
      </c>
      <c r="AD283" s="282">
        <f ca="1" t="shared" si="101"/>
        <v>0.866625</v>
      </c>
      <c r="AE283" s="282">
        <f ca="1" t="shared" si="102"/>
        <v>0.21665625</v>
      </c>
      <c r="AF283" s="19" t="str">
        <f t="shared" si="103"/>
        <v>粉1</v>
      </c>
      <c r="AG283" s="19">
        <f>IFERROR(_xlfn.XLOOKUP(C283+1,[2]基因升级!$E$141:$E$500,[2]基因升级!$D$141:$D$500)-1,AG282)</f>
        <v>83</v>
      </c>
      <c r="AH283" s="19">
        <v>6</v>
      </c>
      <c r="AI283" s="19">
        <f t="shared" si="104"/>
        <v>8.01559450356522</v>
      </c>
      <c r="AJ283" s="19">
        <f t="shared" si="116"/>
        <v>0</v>
      </c>
      <c r="AK283" s="269">
        <v>1.72</v>
      </c>
      <c r="AL283" s="287">
        <f t="shared" si="124"/>
        <v>8.04</v>
      </c>
      <c r="AM283" s="287">
        <f t="shared" si="125"/>
        <v>4.1</v>
      </c>
      <c r="AQ283" s="19">
        <f t="shared" si="105"/>
        <v>1.72284248396495</v>
      </c>
      <c r="AR283" s="19">
        <f t="shared" si="106"/>
        <v>1.31969474853087</v>
      </c>
      <c r="AS283" s="19">
        <f t="shared" si="107"/>
        <v>1</v>
      </c>
      <c r="AT283" s="19">
        <f t="shared" si="108"/>
        <v>1</v>
      </c>
      <c r="AU283" s="19">
        <f t="shared" si="109"/>
        <v>1</v>
      </c>
      <c r="AV283" s="232">
        <f t="shared" si="89"/>
        <v>0.04</v>
      </c>
      <c r="AW283" s="232">
        <f t="shared" si="90"/>
        <v>0.0999999999999996</v>
      </c>
      <c r="AX283" s="232">
        <f t="shared" si="91"/>
        <v>0</v>
      </c>
      <c r="AY283" s="232">
        <f t="shared" si="92"/>
        <v>0</v>
      </c>
      <c r="AZ283" s="232">
        <f t="shared" si="93"/>
        <v>0</v>
      </c>
    </row>
    <row r="284" spans="1:52">
      <c r="A284" s="269"/>
      <c r="C284" s="19">
        <v>161</v>
      </c>
      <c r="D284" s="86">
        <f ca="1" t="shared" si="117"/>
        <v>154.175185721313</v>
      </c>
      <c r="E284" s="251">
        <f ca="1" t="shared" si="94"/>
        <v>0.375881253661605</v>
      </c>
      <c r="F284" s="269">
        <f ca="1" t="shared" si="110"/>
        <v>281.24986257312</v>
      </c>
      <c r="G284" s="283">
        <f ca="1" t="shared" si="111"/>
        <v>105.716550936138</v>
      </c>
      <c r="H284" s="279">
        <f ca="1" t="shared" si="112"/>
        <v>0.236277126179075</v>
      </c>
      <c r="I284" s="269">
        <f ca="1">SUM($J$125:J284)/SUM($H$125:H284)</f>
        <v>0.60382995028194</v>
      </c>
      <c r="J284" s="284">
        <f t="shared" si="118"/>
        <v>0.127198575777967</v>
      </c>
      <c r="K284" s="19">
        <f t="shared" si="120"/>
        <v>17000</v>
      </c>
      <c r="L284" s="269">
        <f t="shared" si="113"/>
        <v>1.84999999999998</v>
      </c>
      <c r="M284" s="226">
        <f ca="1" t="shared" si="114"/>
        <v>17.952</v>
      </c>
      <c r="N284" s="280">
        <f ca="1" t="shared" si="119"/>
        <v>0.109078550401115</v>
      </c>
      <c r="O284" s="226">
        <f t="shared" si="123"/>
        <v>6.6</v>
      </c>
      <c r="P284" s="19">
        <f ca="1" t="shared" si="88"/>
        <v>18.2</v>
      </c>
      <c r="Q284" s="226">
        <f ca="1" t="shared" si="122"/>
        <v>2.72</v>
      </c>
      <c r="R284" s="269">
        <f ca="1" t="shared" si="95"/>
        <v>0.494584745136209</v>
      </c>
      <c r="S284" s="266">
        <f ca="1" t="shared" si="96"/>
        <v>46.4637068680094</v>
      </c>
      <c r="T284" s="226">
        <f ca="1">(1+OFFSET('玩法产出(新)'!$C$18,MATCH(X284,'玩法产出(新)'!$B$19:$B$25,0),1)*(1-V284)+OFFSET('玩法产出(新)'!$C$18,1+MATCH(X284,'玩法产出(新)'!$B$19:$B$25,0),1)*(V284))^AA284*(1+OFFSET('玩法产出(新)'!$C$18,MATCH(X284,'玩法产出(新)'!$B$19:$B$25,0),3)*(1-V284)+OFFSET('玩法产出(新)'!$C$18,1+MATCH(X284,'玩法产出(新)'!$B$19:$B$25,0),3)*(V284))^AB284*(1+OFFSET('玩法产出(新)'!$C$18,MATCH(X284,'玩法产出(新)'!$B$19:$B$25,0),4)*(1-V284)+OFFSET('玩法产出(新)'!$C$18,1+MATCH(X284,'玩法产出(新)'!$B$19:$B$25,0),4)*(V284))^AC284*(1+OFFSET('玩法产出(新)'!$C$18,MATCH(X284,'玩法产出(新)'!$B$19:$B$25,0),5)*(1+V284)+OFFSET('玩法产出(新)'!$C$18,1+MATCH(X284,'玩法产出(新)'!$B$19:$B$25,5),1)*(V284))^AD284*(1+OFFSET('玩法产出(新)'!$C$18,MATCH(X284,'玩法产出(新)'!$B$19:$B$25,0),6)*(1+V284)+OFFSET('玩法产出(新)'!$C$18,1+MATCH(X284,'玩法产出(新)'!$B$19:$B$25,0),6)*(V284))^AE284</f>
        <v>23.1888511612024</v>
      </c>
      <c r="U284" s="226">
        <f ca="1" t="shared" si="115"/>
        <v>0.139604127482522</v>
      </c>
      <c r="V284" s="226">
        <f ca="1">COUNTIF($X$124:$X284,X284)/(COUNTIF($X$124:$X$723,X284)+1)</f>
        <v>0.0927835051546392</v>
      </c>
      <c r="W284" s="19">
        <v>30</v>
      </c>
      <c r="X284" s="19" t="s">
        <v>326</v>
      </c>
      <c r="Y284" s="19">
        <f t="shared" si="121"/>
        <v>17260</v>
      </c>
      <c r="Z284" s="19">
        <f ca="1" t="shared" si="97"/>
        <v>1.96453608247423</v>
      </c>
      <c r="AA284" s="282">
        <f ca="1" t="shared" si="98"/>
        <v>12.3139989583333</v>
      </c>
      <c r="AB284" s="282">
        <f ca="1" t="shared" si="99"/>
        <v>13.1088541666667</v>
      </c>
      <c r="AC284" s="282">
        <f ca="1" t="shared" si="100"/>
        <v>3.48735</v>
      </c>
      <c r="AD284" s="282">
        <f ca="1" t="shared" si="101"/>
        <v>0.8718375</v>
      </c>
      <c r="AE284" s="282">
        <f ca="1" t="shared" si="102"/>
        <v>0.217959375</v>
      </c>
      <c r="AF284" s="19" t="str">
        <f t="shared" si="103"/>
        <v>粉1</v>
      </c>
      <c r="AG284" s="19">
        <f>IFERROR(_xlfn.XLOOKUP(C284+1,[2]基因升级!$E$141:$E$500,[2]基因升级!$D$141:$D$500)-1,AG283)</f>
        <v>83</v>
      </c>
      <c r="AH284" s="19">
        <v>6</v>
      </c>
      <c r="AI284" s="19">
        <f t="shared" si="104"/>
        <v>8.01559450356522</v>
      </c>
      <c r="AJ284" s="19">
        <f t="shared" si="116"/>
        <v>0</v>
      </c>
      <c r="AK284" s="269">
        <v>1.72</v>
      </c>
      <c r="AL284" s="287">
        <f t="shared" si="124"/>
        <v>8.08</v>
      </c>
      <c r="AM284" s="287">
        <f t="shared" si="125"/>
        <v>4.2</v>
      </c>
      <c r="AQ284" s="19">
        <f t="shared" si="105"/>
        <v>1.72751140673525</v>
      </c>
      <c r="AR284" s="19">
        <f t="shared" si="106"/>
        <v>1.32865389886254</v>
      </c>
      <c r="AS284" s="19">
        <f t="shared" si="107"/>
        <v>1</v>
      </c>
      <c r="AT284" s="19">
        <f t="shared" si="108"/>
        <v>1</v>
      </c>
      <c r="AU284" s="19">
        <f t="shared" si="109"/>
        <v>1</v>
      </c>
      <c r="AV284" s="232">
        <f t="shared" si="89"/>
        <v>0.0399999999999991</v>
      </c>
      <c r="AW284" s="232">
        <f t="shared" si="90"/>
        <v>0.0999999999999996</v>
      </c>
      <c r="AX284" s="232">
        <f t="shared" si="91"/>
        <v>0</v>
      </c>
      <c r="AY284" s="232">
        <f t="shared" si="92"/>
        <v>0</v>
      </c>
      <c r="AZ284" s="232">
        <f t="shared" si="93"/>
        <v>0</v>
      </c>
    </row>
    <row r="285" spans="1:52">
      <c r="A285" s="269"/>
      <c r="C285" s="19">
        <v>162</v>
      </c>
      <c r="D285" s="86">
        <f ca="1" t="shared" si="117"/>
        <v>154.549852196071</v>
      </c>
      <c r="E285" s="251">
        <f ca="1" t="shared" si="94"/>
        <v>0.374666474758289</v>
      </c>
      <c r="F285" s="269">
        <f ca="1" t="shared" si="110"/>
        <v>282.788604505079</v>
      </c>
      <c r="G285" s="283">
        <f ca="1" t="shared" si="111"/>
        <v>105.951409551734</v>
      </c>
      <c r="H285" s="279">
        <f ca="1" t="shared" si="112"/>
        <v>0.234858615595684</v>
      </c>
      <c r="I285" s="269">
        <f ca="1">SUM($J$125:J285)/SUM($H$125:H285)</f>
        <v>0.603671166960037</v>
      </c>
      <c r="J285" s="284">
        <f t="shared" si="118"/>
        <v>0.126579182628483</v>
      </c>
      <c r="K285" s="19">
        <f t="shared" si="120"/>
        <v>17100</v>
      </c>
      <c r="L285" s="269">
        <f t="shared" si="113"/>
        <v>1.85499999999998</v>
      </c>
      <c r="M285" s="226">
        <f ca="1" t="shared" si="114"/>
        <v>18.084</v>
      </c>
      <c r="N285" s="280">
        <f ca="1" t="shared" si="119"/>
        <v>0.108279432967215</v>
      </c>
      <c r="O285" s="226">
        <f t="shared" si="123"/>
        <v>6.6</v>
      </c>
      <c r="P285" s="19">
        <f ca="1" t="shared" si="88"/>
        <v>18.4</v>
      </c>
      <c r="Q285" s="226">
        <f ca="1" t="shared" si="122"/>
        <v>2.74</v>
      </c>
      <c r="R285" s="269">
        <f ca="1" t="shared" si="95"/>
        <v>0.496072935361505</v>
      </c>
      <c r="S285" s="266">
        <f ca="1" t="shared" si="96"/>
        <v>46.603514727172</v>
      </c>
      <c r="T285" s="226">
        <f ca="1">(1+OFFSET('玩法产出(新)'!$C$18,MATCH(X285,'玩法产出(新)'!$B$19:$B$25,0),1)*(1-V285)+OFFSET('玩法产出(新)'!$C$18,1+MATCH(X285,'玩法产出(新)'!$B$19:$B$25,0),1)*(V285))^AA285*(1+OFFSET('玩法产出(新)'!$C$18,MATCH(X285,'玩法产出(新)'!$B$19:$B$25,0),3)*(1-V285)+OFFSET('玩法产出(新)'!$C$18,1+MATCH(X285,'玩法产出(新)'!$B$19:$B$25,0),3)*(V285))^AB285*(1+OFFSET('玩法产出(新)'!$C$18,MATCH(X285,'玩法产出(新)'!$B$19:$B$25,0),4)*(1-V285)+OFFSET('玩法产出(新)'!$C$18,1+MATCH(X285,'玩法产出(新)'!$B$19:$B$25,0),4)*(V285))^AC285*(1+OFFSET('玩法产出(新)'!$C$18,MATCH(X285,'玩法产出(新)'!$B$19:$B$25,0),5)*(1+V285)+OFFSET('玩法产出(新)'!$C$18,1+MATCH(X285,'玩法产出(新)'!$B$19:$B$25,5),1)*(V285))^AD285*(1+OFFSET('玩法产出(新)'!$C$18,MATCH(X285,'玩法产出(新)'!$B$19:$B$25,0),6)*(1+V285)+OFFSET('玩法产出(新)'!$C$18,1+MATCH(X285,'玩法产出(新)'!$B$19:$B$25,0),6)*(V285))^AE285</f>
        <v>23.4092401018959</v>
      </c>
      <c r="U285" s="226">
        <f ca="1" t="shared" si="115"/>
        <v>0.13980785916259</v>
      </c>
      <c r="V285" s="226">
        <f ca="1">COUNTIF($X$124:$X285,X285)/(COUNTIF($X$124:$X$723,X285)+1)</f>
        <v>0.0948453608247423</v>
      </c>
      <c r="W285" s="19">
        <v>30</v>
      </c>
      <c r="X285" s="19" t="s">
        <v>326</v>
      </c>
      <c r="Y285" s="19">
        <f t="shared" si="121"/>
        <v>17360</v>
      </c>
      <c r="Z285" s="19">
        <f ca="1" t="shared" si="97"/>
        <v>1.96552577319588</v>
      </c>
      <c r="AA285" s="282">
        <f ca="1" t="shared" si="98"/>
        <v>12.2142375</v>
      </c>
      <c r="AB285" s="282">
        <f ca="1" t="shared" si="99"/>
        <v>13.18125</v>
      </c>
      <c r="AC285" s="282">
        <f ca="1" t="shared" si="100"/>
        <v>3.5082</v>
      </c>
      <c r="AD285" s="282">
        <f ca="1" t="shared" si="101"/>
        <v>0.87705</v>
      </c>
      <c r="AE285" s="282">
        <f ca="1" t="shared" si="102"/>
        <v>0.2192625</v>
      </c>
      <c r="AF285" s="19" t="str">
        <f t="shared" si="103"/>
        <v>粉1</v>
      </c>
      <c r="AG285" s="19">
        <f>IFERROR(_xlfn.XLOOKUP(C285+1,[2]基因升级!$E$141:$E$500,[2]基因升级!$D$141:$D$500)-1,AG284)</f>
        <v>83</v>
      </c>
      <c r="AH285" s="19">
        <v>6</v>
      </c>
      <c r="AI285" s="19">
        <f t="shared" si="104"/>
        <v>8.01559450356522</v>
      </c>
      <c r="AJ285" s="19">
        <f t="shared" si="116"/>
        <v>0</v>
      </c>
      <c r="AK285" s="269">
        <v>1.72</v>
      </c>
      <c r="AL285" s="287">
        <f t="shared" si="124"/>
        <v>8.12</v>
      </c>
      <c r="AM285" s="287">
        <f t="shared" si="125"/>
        <v>4.3</v>
      </c>
      <c r="AQ285" s="19">
        <f t="shared" si="105"/>
        <v>1.73219298233948</v>
      </c>
      <c r="AR285" s="19">
        <f t="shared" si="106"/>
        <v>1.33767387111894</v>
      </c>
      <c r="AS285" s="19">
        <f t="shared" si="107"/>
        <v>1</v>
      </c>
      <c r="AT285" s="19">
        <f t="shared" si="108"/>
        <v>1</v>
      </c>
      <c r="AU285" s="19">
        <f t="shared" si="109"/>
        <v>1</v>
      </c>
      <c r="AV285" s="232">
        <f t="shared" si="89"/>
        <v>0.0399999999999991</v>
      </c>
      <c r="AW285" s="232">
        <f t="shared" si="90"/>
        <v>0.0999999999999996</v>
      </c>
      <c r="AX285" s="232">
        <f t="shared" si="91"/>
        <v>0</v>
      </c>
      <c r="AY285" s="232">
        <f t="shared" si="92"/>
        <v>0</v>
      </c>
      <c r="AZ285" s="232">
        <f t="shared" si="93"/>
        <v>0</v>
      </c>
    </row>
    <row r="286" spans="1:52">
      <c r="A286" s="269"/>
      <c r="C286" s="19">
        <v>163</v>
      </c>
      <c r="D286" s="86">
        <f ca="1" t="shared" si="117"/>
        <v>154.923321953284</v>
      </c>
      <c r="E286" s="251">
        <f ca="1" t="shared" si="94"/>
        <v>0.373469757212907</v>
      </c>
      <c r="F286" s="269">
        <f ca="1" t="shared" si="110"/>
        <v>284.319856628641</v>
      </c>
      <c r="G286" s="283">
        <f ca="1" t="shared" si="111"/>
        <v>106.184867825907</v>
      </c>
      <c r="H286" s="279">
        <f ca="1" t="shared" si="112"/>
        <v>0.233458274173159</v>
      </c>
      <c r="I286" s="269">
        <f ca="1">SUM($J$125:J286)/SUM($H$125:H286)</f>
        <v>0.603515573942277</v>
      </c>
      <c r="J286" s="284">
        <f t="shared" si="118"/>
        <v>0.125966334958683</v>
      </c>
      <c r="K286" s="19">
        <f t="shared" si="120"/>
        <v>17200</v>
      </c>
      <c r="L286" s="269">
        <f t="shared" si="113"/>
        <v>1.85999999999998</v>
      </c>
      <c r="M286" s="226">
        <f ca="1" t="shared" si="114"/>
        <v>18.216</v>
      </c>
      <c r="N286" s="280">
        <f ca="1" t="shared" si="119"/>
        <v>0.107491939214455</v>
      </c>
      <c r="O286" s="226">
        <f t="shared" si="123"/>
        <v>6.6</v>
      </c>
      <c r="P286" s="19">
        <f ca="1" t="shared" si="88"/>
        <v>18.6</v>
      </c>
      <c r="Q286" s="226">
        <f ca="1" t="shared" si="122"/>
        <v>2.76</v>
      </c>
      <c r="R286" s="269">
        <f ca="1" t="shared" si="95"/>
        <v>0.497563293069126</v>
      </c>
      <c r="S286" s="266">
        <f ca="1" t="shared" si="96"/>
        <v>46.7435262102118</v>
      </c>
      <c r="T286" s="226">
        <f ca="1">(1+OFFSET('玩法产出(新)'!$C$18,MATCH(X286,'玩法产出(新)'!$B$19:$B$25,0),1)*(1-V286)+OFFSET('玩法产出(新)'!$C$18,1+MATCH(X286,'玩法产出(新)'!$B$19:$B$25,0),1)*(V286))^AA286*(1+OFFSET('玩法产出(新)'!$C$18,MATCH(X286,'玩法产出(新)'!$B$19:$B$25,0),3)*(1-V286)+OFFSET('玩法产出(新)'!$C$18,1+MATCH(X286,'玩法产出(新)'!$B$19:$B$25,0),3)*(V286))^AB286*(1+OFFSET('玩法产出(新)'!$C$18,MATCH(X286,'玩法产出(新)'!$B$19:$B$25,0),4)*(1-V286)+OFFSET('玩法产出(新)'!$C$18,1+MATCH(X286,'玩法产出(新)'!$B$19:$B$25,0),4)*(V286))^AC286*(1+OFFSET('玩法产出(新)'!$C$18,MATCH(X286,'玩法产出(新)'!$B$19:$B$25,0),5)*(1+V286)+OFFSET('玩法产出(新)'!$C$18,1+MATCH(X286,'玩法产出(新)'!$B$19:$B$25,5),1)*(V286))^AD286*(1+OFFSET('玩法产出(新)'!$C$18,MATCH(X286,'玩法产出(新)'!$B$19:$B$25,0),6)*(1+V286)+OFFSET('玩法产出(新)'!$C$18,1+MATCH(X286,'玩法产出(新)'!$B$19:$B$25,0),6)*(V286))^AE286</f>
        <v>23.6320492135553</v>
      </c>
      <c r="U286" s="226">
        <f ca="1" t="shared" si="115"/>
        <v>0.140011483039769</v>
      </c>
      <c r="V286" s="226">
        <f ca="1">COUNTIF($X$124:$X286,X286)/(COUNTIF($X$124:$X$723,X286)+1)</f>
        <v>0.0969072164948454</v>
      </c>
      <c r="W286" s="19">
        <v>30</v>
      </c>
      <c r="X286" s="19" t="s">
        <v>326</v>
      </c>
      <c r="Y286" s="19">
        <f t="shared" si="121"/>
        <v>17460</v>
      </c>
      <c r="Z286" s="19">
        <f ca="1" t="shared" si="97"/>
        <v>1.96651546391753</v>
      </c>
      <c r="AA286" s="282">
        <f ca="1" t="shared" si="98"/>
        <v>12.1144760416667</v>
      </c>
      <c r="AB286" s="282">
        <f ca="1" t="shared" si="99"/>
        <v>13.2536458333333</v>
      </c>
      <c r="AC286" s="282">
        <f ca="1" t="shared" si="100"/>
        <v>3.52905</v>
      </c>
      <c r="AD286" s="282">
        <f ca="1" t="shared" si="101"/>
        <v>0.8822625</v>
      </c>
      <c r="AE286" s="282">
        <f ca="1" t="shared" si="102"/>
        <v>0.220565625</v>
      </c>
      <c r="AF286" s="19" t="str">
        <f t="shared" si="103"/>
        <v>粉1</v>
      </c>
      <c r="AG286" s="19">
        <f>IFERROR(_xlfn.XLOOKUP(C286+1,[2]基因升级!$E$141:$E$500,[2]基因升级!$D$141:$D$500)-1,AG285)</f>
        <v>84</v>
      </c>
      <c r="AH286" s="19">
        <v>6</v>
      </c>
      <c r="AI286" s="19">
        <f t="shared" si="104"/>
        <v>8.01559450356522</v>
      </c>
      <c r="AJ286" s="19">
        <f t="shared" si="116"/>
        <v>0</v>
      </c>
      <c r="AK286" s="269">
        <v>1.72</v>
      </c>
      <c r="AL286" s="287">
        <f t="shared" si="124"/>
        <v>8.16</v>
      </c>
      <c r="AM286" s="287">
        <f t="shared" si="125"/>
        <v>4.4</v>
      </c>
      <c r="AQ286" s="19">
        <f t="shared" si="105"/>
        <v>1.73688724506697</v>
      </c>
      <c r="AR286" s="19">
        <f t="shared" si="106"/>
        <v>1.34675507820826</v>
      </c>
      <c r="AS286" s="19">
        <f t="shared" si="107"/>
        <v>1</v>
      </c>
      <c r="AT286" s="19">
        <f t="shared" si="108"/>
        <v>1</v>
      </c>
      <c r="AU286" s="19">
        <f t="shared" si="109"/>
        <v>1</v>
      </c>
      <c r="AV286" s="232">
        <f t="shared" si="89"/>
        <v>0.0399999999999991</v>
      </c>
      <c r="AW286" s="232">
        <f t="shared" si="90"/>
        <v>0.0999999999999996</v>
      </c>
      <c r="AX286" s="232">
        <f t="shared" si="91"/>
        <v>0</v>
      </c>
      <c r="AY286" s="232">
        <f t="shared" si="92"/>
        <v>0</v>
      </c>
      <c r="AZ286" s="232">
        <f t="shared" si="93"/>
        <v>0</v>
      </c>
    </row>
    <row r="287" spans="1:52">
      <c r="A287" s="269"/>
      <c r="C287" s="19">
        <v>164</v>
      </c>
      <c r="D287" s="86">
        <f ca="1" t="shared" si="117"/>
        <v>156.483937132485</v>
      </c>
      <c r="E287" s="251">
        <f ca="1" t="shared" si="94"/>
        <v>1.56061517920105</v>
      </c>
      <c r="F287" s="269">
        <f ca="1" t="shared" si="110"/>
        <v>68.1890993922723</v>
      </c>
      <c r="G287" s="283">
        <f ca="1" t="shared" si="111"/>
        <v>106.416943567629</v>
      </c>
      <c r="H287" s="279">
        <f ca="1" t="shared" si="112"/>
        <v>0.232075741722198</v>
      </c>
      <c r="I287" s="269">
        <f ca="1">SUM($J$125:J287)/SUM($H$125:H287)</f>
        <v>0.603363096591727</v>
      </c>
      <c r="J287" s="284">
        <f t="shared" si="118"/>
        <v>0.125359924360261</v>
      </c>
      <c r="K287" s="19">
        <f t="shared" si="120"/>
        <v>17300</v>
      </c>
      <c r="L287" s="269">
        <f t="shared" si="113"/>
        <v>1.86499999999998</v>
      </c>
      <c r="M287" s="226">
        <f ca="1" t="shared" si="114"/>
        <v>18.348</v>
      </c>
      <c r="N287" s="280">
        <f ca="1" t="shared" si="119"/>
        <v>0.106715817361938</v>
      </c>
      <c r="O287" s="226">
        <f t="shared" si="123"/>
        <v>6.6</v>
      </c>
      <c r="P287" s="19">
        <f ca="1" t="shared" si="88"/>
        <v>18.8</v>
      </c>
      <c r="Q287" s="226">
        <f ca="1" t="shared" si="122"/>
        <v>2.78</v>
      </c>
      <c r="R287" s="269">
        <f ca="1" t="shared" si="95"/>
        <v>0.499055817113153</v>
      </c>
      <c r="S287" s="266">
        <f ca="1" t="shared" si="96"/>
        <v>46.8837412094755</v>
      </c>
      <c r="T287" s="226">
        <f ca="1">(1+OFFSET('玩法产出(新)'!$C$18,MATCH(X287,'玩法产出(新)'!$B$19:$B$25,0),1)*(1-V287)+OFFSET('玩法产出(新)'!$C$18,1+MATCH(X287,'玩法产出(新)'!$B$19:$B$25,0),1)*(V287))^AA287*(1+OFFSET('玩法产出(新)'!$C$18,MATCH(X287,'玩法产出(新)'!$B$19:$B$25,0),3)*(1-V287)+OFFSET('玩法产出(新)'!$C$18,1+MATCH(X287,'玩法产出(新)'!$B$19:$B$25,0),3)*(V287))^AB287*(1+OFFSET('玩法产出(新)'!$C$18,MATCH(X287,'玩法产出(新)'!$B$19:$B$25,0),4)*(1-V287)+OFFSET('玩法产出(新)'!$C$18,1+MATCH(X287,'玩法产出(新)'!$B$19:$B$25,0),4)*(V287))^AC287*(1+OFFSET('玩法产出(新)'!$C$18,MATCH(X287,'玩法产出(新)'!$B$19:$B$25,0),5)*(1+V287)+OFFSET('玩法产出(新)'!$C$18,1+MATCH(X287,'玩法产出(新)'!$B$19:$B$25,5),1)*(V287))^AD287*(1+OFFSET('玩法产出(新)'!$C$18,MATCH(X287,'玩法产出(新)'!$B$19:$B$25,0),6)*(1+V287)+OFFSET('玩法产出(新)'!$C$18,1+MATCH(X287,'玩法产出(新)'!$B$19:$B$25,0),6)*(V287))^AE287</f>
        <v>23.8573075260994</v>
      </c>
      <c r="U287" s="226">
        <f ca="1" t="shared" si="115"/>
        <v>0.140214999263772</v>
      </c>
      <c r="V287" s="226">
        <f ca="1">COUNTIF($X$124:$X287,X287)/(COUNTIF($X$124:$X$723,X287)+1)</f>
        <v>0.0989690721649484</v>
      </c>
      <c r="W287" s="19">
        <v>30</v>
      </c>
      <c r="X287" s="19" t="s">
        <v>326</v>
      </c>
      <c r="Y287" s="19">
        <f t="shared" si="121"/>
        <v>17560</v>
      </c>
      <c r="Z287" s="19">
        <f ca="1" t="shared" si="97"/>
        <v>1.96750515463918</v>
      </c>
      <c r="AA287" s="282">
        <f ca="1" t="shared" si="98"/>
        <v>12.0147145833333</v>
      </c>
      <c r="AB287" s="282">
        <f ca="1" t="shared" si="99"/>
        <v>13.3260416666667</v>
      </c>
      <c r="AC287" s="282">
        <f ca="1" t="shared" si="100"/>
        <v>3.5499</v>
      </c>
      <c r="AD287" s="282">
        <f ca="1" t="shared" si="101"/>
        <v>0.887475</v>
      </c>
      <c r="AE287" s="282">
        <f ca="1" t="shared" si="102"/>
        <v>0.22186875</v>
      </c>
      <c r="AF287" s="19" t="str">
        <f t="shared" si="103"/>
        <v>粉1</v>
      </c>
      <c r="AG287" s="19">
        <f>IFERROR(_xlfn.XLOOKUP(C287+1,[2]基因升级!$E$141:$E$500,[2]基因升级!$D$141:$D$500)-1,AG286)</f>
        <v>84</v>
      </c>
      <c r="AH287" s="19">
        <v>7</v>
      </c>
      <c r="AI287" s="19">
        <f t="shared" si="104"/>
        <v>9.2039189417803</v>
      </c>
      <c r="AJ287" s="19">
        <f t="shared" si="116"/>
        <v>1.18832443821508</v>
      </c>
      <c r="AK287" s="269">
        <v>1.864</v>
      </c>
      <c r="AL287" s="287">
        <f t="shared" si="124"/>
        <v>8.2</v>
      </c>
      <c r="AM287" s="287">
        <f t="shared" si="125"/>
        <v>4.5</v>
      </c>
      <c r="AQ287" s="19">
        <f t="shared" si="105"/>
        <v>1.74159422929996</v>
      </c>
      <c r="AR287" s="19">
        <f t="shared" si="106"/>
        <v>1.35589793584184</v>
      </c>
      <c r="AS287" s="19">
        <f t="shared" si="107"/>
        <v>1</v>
      </c>
      <c r="AT287" s="19">
        <f t="shared" si="108"/>
        <v>1</v>
      </c>
      <c r="AU287" s="19">
        <f t="shared" si="109"/>
        <v>1</v>
      </c>
      <c r="AV287" s="232">
        <f t="shared" si="89"/>
        <v>0.0399999999999991</v>
      </c>
      <c r="AW287" s="232">
        <f t="shared" si="90"/>
        <v>0.0999999999999996</v>
      </c>
      <c r="AX287" s="232">
        <f t="shared" si="91"/>
        <v>0</v>
      </c>
      <c r="AY287" s="232">
        <f t="shared" si="92"/>
        <v>0</v>
      </c>
      <c r="AZ287" s="232">
        <f t="shared" si="93"/>
        <v>0</v>
      </c>
    </row>
    <row r="288" spans="1:52">
      <c r="A288" s="269"/>
      <c r="C288" s="19">
        <v>165</v>
      </c>
      <c r="D288" s="86">
        <f ca="1" t="shared" si="117"/>
        <v>156.855066208184</v>
      </c>
      <c r="E288" s="251">
        <f ca="1" t="shared" si="94"/>
        <v>0.371129075698694</v>
      </c>
      <c r="F288" s="269">
        <f ca="1" t="shared" si="110"/>
        <v>287.360008198138</v>
      </c>
      <c r="G288" s="283">
        <f ca="1" t="shared" si="111"/>
        <v>106.647654235344</v>
      </c>
      <c r="H288" s="279">
        <f ca="1" t="shared" si="112"/>
        <v>0.23071066771486</v>
      </c>
      <c r="I288" s="269">
        <f ca="1">SUM($J$125:J288)/SUM($H$125:H288)</f>
        <v>0.603213662462808</v>
      </c>
      <c r="J288" s="284">
        <f t="shared" si="118"/>
        <v>0.124759844866446</v>
      </c>
      <c r="K288" s="19">
        <f t="shared" si="120"/>
        <v>17400</v>
      </c>
      <c r="L288" s="269">
        <f t="shared" si="113"/>
        <v>1.86999999999998</v>
      </c>
      <c r="M288" s="226">
        <f ca="1" t="shared" si="114"/>
        <v>18.48</v>
      </c>
      <c r="N288" s="280">
        <f ca="1" t="shared" si="119"/>
        <v>0.105950822848421</v>
      </c>
      <c r="O288" s="226">
        <f t="shared" si="123"/>
        <v>6.6</v>
      </c>
      <c r="P288" s="19">
        <f ca="1" t="shared" si="88"/>
        <v>19</v>
      </c>
      <c r="Q288" s="226">
        <f ca="1" t="shared" si="122"/>
        <v>2.8</v>
      </c>
      <c r="R288" s="269">
        <f ca="1" t="shared" si="95"/>
        <v>0.500550506349257</v>
      </c>
      <c r="S288" s="266">
        <f ca="1" t="shared" si="96"/>
        <v>47.0241596174594</v>
      </c>
      <c r="T288" s="226">
        <f ca="1">(1+OFFSET('玩法产出(新)'!$C$18,MATCH(X288,'玩法产出(新)'!$B$19:$B$25,0),1)*(1-V288)+OFFSET('玩法产出(新)'!$C$18,1+MATCH(X288,'玩法产出(新)'!$B$19:$B$25,0),1)*(V288))^AA288*(1+OFFSET('玩法产出(新)'!$C$18,MATCH(X288,'玩法产出(新)'!$B$19:$B$25,0),3)*(1-V288)+OFFSET('玩法产出(新)'!$C$18,1+MATCH(X288,'玩法产出(新)'!$B$19:$B$25,0),3)*(V288))^AB288*(1+OFFSET('玩法产出(新)'!$C$18,MATCH(X288,'玩法产出(新)'!$B$19:$B$25,0),4)*(1-V288)+OFFSET('玩法产出(新)'!$C$18,1+MATCH(X288,'玩法产出(新)'!$B$19:$B$25,0),4)*(V288))^AC288*(1+OFFSET('玩法产出(新)'!$C$18,MATCH(X288,'玩法产出(新)'!$B$19:$B$25,0),5)*(1+V288)+OFFSET('玩法产出(新)'!$C$18,1+MATCH(X288,'玩法产出(新)'!$B$19:$B$25,5),1)*(V288))^AD288*(1+OFFSET('玩法产出(新)'!$C$18,MATCH(X288,'玩法产出(新)'!$B$19:$B$25,0),6)*(1+V288)+OFFSET('玩法产出(新)'!$C$18,1+MATCH(X288,'玩法产出(新)'!$B$19:$B$25,0),6)*(V288))^AE288</f>
        <v>24.0850444429369</v>
      </c>
      <c r="U288" s="226">
        <f ca="1" t="shared" si="115"/>
        <v>0.140418407983827</v>
      </c>
      <c r="V288" s="226">
        <f ca="1">COUNTIF($X$124:$X288,X288)/(COUNTIF($X$124:$X$723,X288)+1)</f>
        <v>0.101030927835052</v>
      </c>
      <c r="W288" s="19">
        <v>30</v>
      </c>
      <c r="X288" s="19" t="s">
        <v>326</v>
      </c>
      <c r="Y288" s="19">
        <f t="shared" si="121"/>
        <v>17660</v>
      </c>
      <c r="Z288" s="19">
        <f ca="1" t="shared" si="97"/>
        <v>1.9545436507732</v>
      </c>
      <c r="AA288" s="282">
        <f ca="1" t="shared" si="98"/>
        <v>11.914953125</v>
      </c>
      <c r="AB288" s="282">
        <f ca="1" t="shared" si="99"/>
        <v>13.3984375</v>
      </c>
      <c r="AC288" s="282">
        <f ca="1" t="shared" si="100"/>
        <v>3.57075</v>
      </c>
      <c r="AD288" s="282">
        <f ca="1" t="shared" si="101"/>
        <v>0.8926875</v>
      </c>
      <c r="AE288" s="282">
        <f ca="1" t="shared" si="102"/>
        <v>0.223171875</v>
      </c>
      <c r="AF288" s="19" t="str">
        <f t="shared" si="103"/>
        <v>粉1</v>
      </c>
      <c r="AG288" s="19">
        <f>IFERROR(_xlfn.XLOOKUP(C288+1,[2]基因升级!$E$141:$E$500,[2]基因升级!$D$141:$D$500)-1,AG287)</f>
        <v>84</v>
      </c>
      <c r="AH288" s="19">
        <v>7</v>
      </c>
      <c r="AI288" s="19">
        <f t="shared" si="104"/>
        <v>9.2039189417803</v>
      </c>
      <c r="AJ288" s="19">
        <f t="shared" si="116"/>
        <v>0</v>
      </c>
      <c r="AK288" s="269">
        <v>1.864</v>
      </c>
      <c r="AL288" s="287">
        <f t="shared" si="124"/>
        <v>8.23999999999999</v>
      </c>
      <c r="AM288" s="287">
        <f t="shared" si="125"/>
        <v>4.55</v>
      </c>
      <c r="AQ288" s="19">
        <f t="shared" si="105"/>
        <v>1.74631396951387</v>
      </c>
      <c r="AR288" s="19">
        <f t="shared" si="106"/>
        <v>1.36049261429369</v>
      </c>
      <c r="AS288" s="19">
        <f t="shared" si="107"/>
        <v>1</v>
      </c>
      <c r="AT288" s="19">
        <f t="shared" si="108"/>
        <v>1</v>
      </c>
      <c r="AU288" s="19">
        <f t="shared" si="109"/>
        <v>1</v>
      </c>
      <c r="AV288" s="232">
        <f t="shared" si="89"/>
        <v>0.0399999999999991</v>
      </c>
      <c r="AW288" s="232">
        <f t="shared" si="90"/>
        <v>0.0499999999999998</v>
      </c>
      <c r="AX288" s="232">
        <f t="shared" si="91"/>
        <v>0</v>
      </c>
      <c r="AY288" s="232">
        <f t="shared" si="92"/>
        <v>0</v>
      </c>
      <c r="AZ288" s="232">
        <f t="shared" si="93"/>
        <v>0</v>
      </c>
    </row>
    <row r="289" spans="1:52">
      <c r="A289" s="269"/>
      <c r="C289" s="19">
        <v>166</v>
      </c>
      <c r="D289" s="86">
        <f ca="1" t="shared" si="117"/>
        <v>157.225050628491</v>
      </c>
      <c r="E289" s="251">
        <f ca="1" t="shared" si="94"/>
        <v>0.369984420307275</v>
      </c>
      <c r="F289" s="269">
        <f ca="1" t="shared" si="110"/>
        <v>288.868966043328</v>
      </c>
      <c r="G289" s="283">
        <f ca="1" t="shared" si="111"/>
        <v>106.877016946302</v>
      </c>
      <c r="H289" s="279">
        <f ca="1" t="shared" si="112"/>
        <v>0.229362710958284</v>
      </c>
      <c r="I289" s="269">
        <f ca="1">SUM($J$125:J289)/SUM($H$125:H289)</f>
        <v>0.603067201222836</v>
      </c>
      <c r="J289" s="284">
        <f t="shared" si="118"/>
        <v>0.124165992882865</v>
      </c>
      <c r="K289" s="19">
        <f t="shared" si="120"/>
        <v>17500</v>
      </c>
      <c r="L289" s="269">
        <f t="shared" si="113"/>
        <v>1.87499999999998</v>
      </c>
      <c r="M289" s="226">
        <f ca="1" t="shared" si="114"/>
        <v>18.612</v>
      </c>
      <c r="N289" s="280">
        <f ca="1" t="shared" si="119"/>
        <v>0.105196718075419</v>
      </c>
      <c r="O289" s="226">
        <f t="shared" si="123"/>
        <v>6.6</v>
      </c>
      <c r="P289" s="19">
        <f ca="1" t="shared" si="88"/>
        <v>19.2</v>
      </c>
      <c r="Q289" s="226">
        <f ca="1" t="shared" si="122"/>
        <v>2.82</v>
      </c>
      <c r="R289" s="269">
        <f ca="1" t="shared" si="95"/>
        <v>0.502047359634695</v>
      </c>
      <c r="S289" s="266">
        <f ca="1" t="shared" si="96"/>
        <v>47.1647813268084</v>
      </c>
      <c r="T289" s="226">
        <f ca="1">(1+OFFSET('玩法产出(新)'!$C$18,MATCH(X289,'玩法产出(新)'!$B$19:$B$25,0),1)*(1-V289)+OFFSET('玩法产出(新)'!$C$18,1+MATCH(X289,'玩法产出(新)'!$B$19:$B$25,0),1)*(V289))^AA289*(1+OFFSET('玩法产出(新)'!$C$18,MATCH(X289,'玩法产出(新)'!$B$19:$B$25,0),3)*(1-V289)+OFFSET('玩法产出(新)'!$C$18,1+MATCH(X289,'玩法产出(新)'!$B$19:$B$25,0),3)*(V289))^AB289*(1+OFFSET('玩法产出(新)'!$C$18,MATCH(X289,'玩法产出(新)'!$B$19:$B$25,0),4)*(1-V289)+OFFSET('玩法产出(新)'!$C$18,1+MATCH(X289,'玩法产出(新)'!$B$19:$B$25,0),4)*(V289))^AC289*(1+OFFSET('玩法产出(新)'!$C$18,MATCH(X289,'玩法产出(新)'!$B$19:$B$25,0),5)*(1+V289)+OFFSET('玩法产出(新)'!$C$18,1+MATCH(X289,'玩法产出(新)'!$B$19:$B$25,5),1)*(V289))^AD289*(1+OFFSET('玩法产出(新)'!$C$18,MATCH(X289,'玩法产出(新)'!$B$19:$B$25,0),6)*(1+V289)+OFFSET('玩法产出(新)'!$C$18,1+MATCH(X289,'玩法产出(新)'!$B$19:$B$25,0),6)*(V289))^AE289</f>
        <v>24.3152897460533</v>
      </c>
      <c r="U289" s="226">
        <f ca="1" t="shared" si="115"/>
        <v>0.140621709348991</v>
      </c>
      <c r="V289" s="226">
        <f ca="1">COUNTIF($X$124:$X289,X289)/(COUNTIF($X$124:$X$723,X289)+1)</f>
        <v>0.103092783505155</v>
      </c>
      <c r="W289" s="19">
        <v>30</v>
      </c>
      <c r="X289" s="19" t="s">
        <v>326</v>
      </c>
      <c r="Y289" s="19">
        <f t="shared" si="121"/>
        <v>17760</v>
      </c>
      <c r="Z289" s="19">
        <f ca="1" t="shared" si="97"/>
        <v>1.93915310652921</v>
      </c>
      <c r="AA289" s="282">
        <f ca="1" t="shared" si="98"/>
        <v>11.8151916666667</v>
      </c>
      <c r="AB289" s="282">
        <f ca="1" t="shared" si="99"/>
        <v>13.4708333333333</v>
      </c>
      <c r="AC289" s="282">
        <f ca="1" t="shared" si="100"/>
        <v>3.5916</v>
      </c>
      <c r="AD289" s="282">
        <f ca="1" t="shared" si="101"/>
        <v>0.8979</v>
      </c>
      <c r="AE289" s="282">
        <f ca="1" t="shared" si="102"/>
        <v>0.224475</v>
      </c>
      <c r="AF289" s="19" t="str">
        <f t="shared" si="103"/>
        <v>粉1</v>
      </c>
      <c r="AG289" s="19">
        <f>IFERROR(_xlfn.XLOOKUP(C289+1,[2]基因升级!$E$141:$E$500,[2]基因升级!$D$141:$D$500)-1,AG288)</f>
        <v>84</v>
      </c>
      <c r="AH289" s="19">
        <v>7</v>
      </c>
      <c r="AI289" s="19">
        <f t="shared" si="104"/>
        <v>9.2039189417803</v>
      </c>
      <c r="AJ289" s="19">
        <f t="shared" si="116"/>
        <v>0</v>
      </c>
      <c r="AK289" s="269">
        <v>1.864</v>
      </c>
      <c r="AL289" s="287">
        <f t="shared" si="124"/>
        <v>8.27999999999999</v>
      </c>
      <c r="AM289" s="287">
        <f t="shared" si="125"/>
        <v>4.6</v>
      </c>
      <c r="AQ289" s="19">
        <f t="shared" si="105"/>
        <v>1.75104650027756</v>
      </c>
      <c r="AR289" s="19">
        <f t="shared" si="106"/>
        <v>1.3651028625532</v>
      </c>
      <c r="AS289" s="19">
        <f t="shared" si="107"/>
        <v>1</v>
      </c>
      <c r="AT289" s="19">
        <f t="shared" si="108"/>
        <v>1</v>
      </c>
      <c r="AU289" s="19">
        <f t="shared" si="109"/>
        <v>1</v>
      </c>
      <c r="AV289" s="232">
        <f t="shared" si="89"/>
        <v>0.0399999999999991</v>
      </c>
      <c r="AW289" s="232">
        <f t="shared" si="90"/>
        <v>0.0499999999999998</v>
      </c>
      <c r="AX289" s="232">
        <f t="shared" si="91"/>
        <v>0</v>
      </c>
      <c r="AY289" s="232">
        <f t="shared" si="92"/>
        <v>0</v>
      </c>
      <c r="AZ289" s="232">
        <f t="shared" si="93"/>
        <v>0</v>
      </c>
    </row>
    <row r="290" spans="1:52">
      <c r="A290" s="269"/>
      <c r="C290" s="19">
        <v>167</v>
      </c>
      <c r="D290" s="86">
        <f ca="1" t="shared" si="117"/>
        <v>157.593907071281</v>
      </c>
      <c r="E290" s="251">
        <f ca="1" t="shared" si="94"/>
        <v>0.368856442789723</v>
      </c>
      <c r="F290" s="269">
        <f ca="1" t="shared" si="110"/>
        <v>290.370550872125</v>
      </c>
      <c r="G290" s="283">
        <f ca="1" t="shared" si="111"/>
        <v>107.105048485584</v>
      </c>
      <c r="H290" s="279">
        <f ca="1" t="shared" si="112"/>
        <v>0.228031539281858</v>
      </c>
      <c r="I290" s="269">
        <f ca="1">SUM($J$125:J290)/SUM($H$125:H290)</f>
        <v>0.602923644576895</v>
      </c>
      <c r="J290" s="284">
        <f t="shared" si="118"/>
        <v>0.123578267120678</v>
      </c>
      <c r="K290" s="19">
        <f t="shared" si="120"/>
        <v>17600</v>
      </c>
      <c r="L290" s="269">
        <f t="shared" si="113"/>
        <v>1.87999999999998</v>
      </c>
      <c r="M290" s="226">
        <f ca="1" t="shared" si="114"/>
        <v>18.744</v>
      </c>
      <c r="N290" s="280">
        <f ca="1" t="shared" si="119"/>
        <v>0.104453272161173</v>
      </c>
      <c r="O290" s="226">
        <f t="shared" si="123"/>
        <v>6.6</v>
      </c>
      <c r="P290" s="19">
        <f ca="1" t="shared" si="88"/>
        <v>19.4</v>
      </c>
      <c r="Q290" s="226">
        <f ca="1" t="shared" si="122"/>
        <v>2.84</v>
      </c>
      <c r="R290" s="269">
        <f ca="1" t="shared" si="95"/>
        <v>0.503546375828304</v>
      </c>
      <c r="S290" s="266">
        <f ca="1" t="shared" si="96"/>
        <v>47.3056062303162</v>
      </c>
      <c r="T290" s="226">
        <f ca="1">(1+OFFSET('玩法产出(新)'!$C$18,MATCH(X290,'玩法产出(新)'!$B$19:$B$25,0),1)*(1-V290)+OFFSET('玩法产出(新)'!$C$18,1+MATCH(X290,'玩法产出(新)'!$B$19:$B$25,0),1)*(V290))^AA290*(1+OFFSET('玩法产出(新)'!$C$18,MATCH(X290,'玩法产出(新)'!$B$19:$B$25,0),3)*(1-V290)+OFFSET('玩法产出(新)'!$C$18,1+MATCH(X290,'玩法产出(新)'!$B$19:$B$25,0),3)*(V290))^AB290*(1+OFFSET('玩法产出(新)'!$C$18,MATCH(X290,'玩法产出(新)'!$B$19:$B$25,0),4)*(1-V290)+OFFSET('玩法产出(新)'!$C$18,1+MATCH(X290,'玩法产出(新)'!$B$19:$B$25,0),4)*(V290))^AC290*(1+OFFSET('玩法产出(新)'!$C$18,MATCH(X290,'玩法产出(新)'!$B$19:$B$25,0),5)*(1+V290)+OFFSET('玩法产出(新)'!$C$18,1+MATCH(X290,'玩法产出(新)'!$B$19:$B$25,5),1)*(V290))^AD290*(1+OFFSET('玩法产出(新)'!$C$18,MATCH(X290,'玩法产出(新)'!$B$19:$B$25,0),6)*(1+V290)+OFFSET('玩法产出(新)'!$C$18,1+MATCH(X290,'玩法产出(新)'!$B$19:$B$25,0),6)*(V290))^AE290</f>
        <v>24.5480736011715</v>
      </c>
      <c r="U290" s="226">
        <f ca="1" t="shared" si="115"/>
        <v>0.140824903507872</v>
      </c>
      <c r="V290" s="226">
        <f ca="1">COUNTIF($X$124:$X290,X290)/(COUNTIF($X$124:$X$723,X290)+1)</f>
        <v>0.105154639175258</v>
      </c>
      <c r="W290" s="19">
        <v>30</v>
      </c>
      <c r="X290" s="19" t="s">
        <v>326</v>
      </c>
      <c r="Y290" s="19">
        <f t="shared" si="121"/>
        <v>17860</v>
      </c>
      <c r="Z290" s="19">
        <f ca="1" t="shared" si="97"/>
        <v>1.92374610678694</v>
      </c>
      <c r="AA290" s="282">
        <f ca="1" t="shared" si="98"/>
        <v>11.7154302083333</v>
      </c>
      <c r="AB290" s="282">
        <f ca="1" t="shared" si="99"/>
        <v>13.5432291666667</v>
      </c>
      <c r="AC290" s="282">
        <f ca="1" t="shared" si="100"/>
        <v>3.61245</v>
      </c>
      <c r="AD290" s="282">
        <f ca="1" t="shared" si="101"/>
        <v>0.9031125</v>
      </c>
      <c r="AE290" s="282">
        <f ca="1" t="shared" si="102"/>
        <v>0.225778125</v>
      </c>
      <c r="AF290" s="19" t="str">
        <f t="shared" si="103"/>
        <v>粉1</v>
      </c>
      <c r="AG290" s="19">
        <f>IFERROR(_xlfn.XLOOKUP(C290+1,[2]基因升级!$E$141:$E$500,[2]基因升级!$D$141:$D$500)-1,AG289)</f>
        <v>84</v>
      </c>
      <c r="AH290" s="19">
        <v>7</v>
      </c>
      <c r="AI290" s="19">
        <f t="shared" si="104"/>
        <v>9.2039189417803</v>
      </c>
      <c r="AJ290" s="19">
        <f t="shared" si="116"/>
        <v>0</v>
      </c>
      <c r="AK290" s="269">
        <v>1.864</v>
      </c>
      <c r="AL290" s="287">
        <f t="shared" si="124"/>
        <v>8.31999999999999</v>
      </c>
      <c r="AM290" s="287">
        <f t="shared" si="125"/>
        <v>4.65</v>
      </c>
      <c r="AQ290" s="19">
        <f t="shared" si="105"/>
        <v>1.75579185625357</v>
      </c>
      <c r="AR290" s="19">
        <f t="shared" si="106"/>
        <v>1.36972873338119</v>
      </c>
      <c r="AS290" s="19">
        <f t="shared" si="107"/>
        <v>1</v>
      </c>
      <c r="AT290" s="19">
        <f t="shared" si="108"/>
        <v>1</v>
      </c>
      <c r="AU290" s="19">
        <f t="shared" si="109"/>
        <v>1</v>
      </c>
      <c r="AV290" s="232">
        <f t="shared" si="89"/>
        <v>0.0399999999999991</v>
      </c>
      <c r="AW290" s="232">
        <f t="shared" si="90"/>
        <v>0.0499999999999998</v>
      </c>
      <c r="AX290" s="232">
        <f t="shared" si="91"/>
        <v>0</v>
      </c>
      <c r="AY290" s="232">
        <f t="shared" si="92"/>
        <v>0</v>
      </c>
      <c r="AZ290" s="232">
        <f t="shared" si="93"/>
        <v>0</v>
      </c>
    </row>
    <row r="291" spans="1:52">
      <c r="A291" s="269"/>
      <c r="C291" s="19">
        <v>168</v>
      </c>
      <c r="D291" s="86">
        <f ca="1" t="shared" si="117"/>
        <v>157.961651891127</v>
      </c>
      <c r="E291" s="251">
        <f ca="1" t="shared" si="94"/>
        <v>0.367744819845752</v>
      </c>
      <c r="F291" s="269">
        <f ca="1" t="shared" si="110"/>
        <v>291.864791895208</v>
      </c>
      <c r="G291" s="283">
        <f ca="1" t="shared" si="111"/>
        <v>107.331765314821</v>
      </c>
      <c r="H291" s="279">
        <f ca="1" t="shared" si="112"/>
        <v>0.226716829236935</v>
      </c>
      <c r="I291" s="269">
        <f ca="1">SUM($J$125:J291)/SUM($H$125:H291)</f>
        <v>0.602782926195859</v>
      </c>
      <c r="J291" s="284">
        <f t="shared" si="118"/>
        <v>0.122996568532024</v>
      </c>
      <c r="K291" s="19">
        <f t="shared" si="120"/>
        <v>17700</v>
      </c>
      <c r="L291" s="269">
        <f t="shared" si="113"/>
        <v>1.88499999999998</v>
      </c>
      <c r="M291" s="226">
        <f ca="1" t="shared" si="114"/>
        <v>18.876</v>
      </c>
      <c r="N291" s="280">
        <f ca="1" t="shared" si="119"/>
        <v>0.103720260704925</v>
      </c>
      <c r="O291" s="226">
        <f t="shared" si="123"/>
        <v>6.6</v>
      </c>
      <c r="P291" s="19">
        <f ca="1" t="shared" si="88"/>
        <v>19.6</v>
      </c>
      <c r="Q291" s="226">
        <f ca="1" t="shared" si="122"/>
        <v>2.86</v>
      </c>
      <c r="R291" s="269">
        <f ca="1" t="shared" si="95"/>
        <v>0.505047553790503</v>
      </c>
      <c r="S291" s="266">
        <f ca="1" t="shared" si="96"/>
        <v>47.446634220925</v>
      </c>
      <c r="T291" s="226">
        <f ca="1">(1+OFFSET('玩法产出(新)'!$C$18,MATCH(X291,'玩法产出(新)'!$B$19:$B$25,0),1)*(1-V291)+OFFSET('玩法产出(新)'!$C$18,1+MATCH(X291,'玩法产出(新)'!$B$19:$B$25,0),1)*(V291))^AA291*(1+OFFSET('玩法产出(新)'!$C$18,MATCH(X291,'玩法产出(新)'!$B$19:$B$25,0),3)*(1-V291)+OFFSET('玩法产出(新)'!$C$18,1+MATCH(X291,'玩法产出(新)'!$B$19:$B$25,0),3)*(V291))^AB291*(1+OFFSET('玩法产出(新)'!$C$18,MATCH(X291,'玩法产出(新)'!$B$19:$B$25,0),4)*(1-V291)+OFFSET('玩法产出(新)'!$C$18,1+MATCH(X291,'玩法产出(新)'!$B$19:$B$25,0),4)*(V291))^AC291*(1+OFFSET('玩法产出(新)'!$C$18,MATCH(X291,'玩法产出(新)'!$B$19:$B$25,0),5)*(1+V291)+OFFSET('玩法产出(新)'!$C$18,1+MATCH(X291,'玩法产出(新)'!$B$19:$B$25,5),1)*(V291))^AD291*(1+OFFSET('玩法产出(新)'!$C$18,MATCH(X291,'玩法产出(新)'!$B$19:$B$25,0),6)*(1+V291)+OFFSET('玩法产出(新)'!$C$18,1+MATCH(X291,'玩法产出(新)'!$B$19:$B$25,0),6)*(V291))^AE291</f>
        <v>24.7834265629858</v>
      </c>
      <c r="U291" s="226">
        <f ca="1" t="shared" si="115"/>
        <v>0.141027990608803</v>
      </c>
      <c r="V291" s="226">
        <f ca="1">COUNTIF($X$124:$X291,X291)/(COUNTIF($X$124:$X$723,X291)+1)</f>
        <v>0.107216494845361</v>
      </c>
      <c r="W291" s="19">
        <v>30</v>
      </c>
      <c r="X291" s="19" t="s">
        <v>326</v>
      </c>
      <c r="Y291" s="19">
        <f t="shared" si="121"/>
        <v>17960</v>
      </c>
      <c r="Z291" s="19">
        <f ca="1" t="shared" si="97"/>
        <v>1.90832265154639</v>
      </c>
      <c r="AA291" s="282">
        <f ca="1" t="shared" si="98"/>
        <v>11.61566875</v>
      </c>
      <c r="AB291" s="282">
        <f ca="1" t="shared" si="99"/>
        <v>13.615625</v>
      </c>
      <c r="AC291" s="282">
        <f ca="1" t="shared" si="100"/>
        <v>3.6333</v>
      </c>
      <c r="AD291" s="282">
        <f ca="1" t="shared" si="101"/>
        <v>0.908325</v>
      </c>
      <c r="AE291" s="282">
        <f ca="1" t="shared" si="102"/>
        <v>0.22708125</v>
      </c>
      <c r="AF291" s="19" t="str">
        <f t="shared" si="103"/>
        <v>粉1</v>
      </c>
      <c r="AG291" s="19">
        <f>IFERROR(_xlfn.XLOOKUP(C291+1,[2]基因升级!$E$141:$E$500,[2]基因升级!$D$141:$D$500)-1,AG290)</f>
        <v>84</v>
      </c>
      <c r="AH291" s="19">
        <v>7</v>
      </c>
      <c r="AI291" s="19">
        <f t="shared" si="104"/>
        <v>9.2039189417803</v>
      </c>
      <c r="AJ291" s="19">
        <f t="shared" si="116"/>
        <v>0</v>
      </c>
      <c r="AK291" s="269">
        <v>1.864</v>
      </c>
      <c r="AL291" s="287">
        <f t="shared" si="124"/>
        <v>8.35999999999999</v>
      </c>
      <c r="AM291" s="287">
        <f t="shared" si="125"/>
        <v>4.7</v>
      </c>
      <c r="AQ291" s="19">
        <f t="shared" si="105"/>
        <v>1.76055007219837</v>
      </c>
      <c r="AR291" s="19">
        <f t="shared" si="106"/>
        <v>1.37437027971722</v>
      </c>
      <c r="AS291" s="19">
        <f t="shared" si="107"/>
        <v>1</v>
      </c>
      <c r="AT291" s="19">
        <f t="shared" si="108"/>
        <v>1</v>
      </c>
      <c r="AU291" s="19">
        <f t="shared" si="109"/>
        <v>1</v>
      </c>
      <c r="AV291" s="232">
        <f t="shared" si="89"/>
        <v>0.0399999999999991</v>
      </c>
      <c r="AW291" s="232">
        <f t="shared" si="90"/>
        <v>0.0499999999999998</v>
      </c>
      <c r="AX291" s="232">
        <f t="shared" si="91"/>
        <v>0</v>
      </c>
      <c r="AY291" s="232">
        <f t="shared" si="92"/>
        <v>0</v>
      </c>
      <c r="AZ291" s="232">
        <f t="shared" si="93"/>
        <v>0</v>
      </c>
    </row>
    <row r="292" spans="1:52">
      <c r="A292" s="269"/>
      <c r="C292" s="19">
        <v>169</v>
      </c>
      <c r="D292" s="86">
        <f ca="1" t="shared" si="117"/>
        <v>158.328301127735</v>
      </c>
      <c r="E292" s="251">
        <f ca="1" t="shared" si="94"/>
        <v>0.366649236608521</v>
      </c>
      <c r="F292" s="269">
        <f ca="1" t="shared" si="110"/>
        <v>293.351718322193</v>
      </c>
      <c r="G292" s="283">
        <f ca="1" t="shared" si="111"/>
        <v>107.55718358063</v>
      </c>
      <c r="H292" s="279">
        <f ca="1" t="shared" si="112"/>
        <v>0.225418265808685</v>
      </c>
      <c r="I292" s="269">
        <f ca="1">SUM($J$125:J292)/SUM($H$125:H292)</f>
        <v>0.602644981647435</v>
      </c>
      <c r="J292" s="284">
        <f t="shared" si="118"/>
        <v>0.122420800247561</v>
      </c>
      <c r="K292" s="19">
        <f t="shared" si="120"/>
        <v>17800</v>
      </c>
      <c r="L292" s="269">
        <f t="shared" si="113"/>
        <v>1.88999999999998</v>
      </c>
      <c r="M292" s="226">
        <f ca="1" t="shared" si="114"/>
        <v>19.008</v>
      </c>
      <c r="N292" s="280">
        <f ca="1" t="shared" si="119"/>
        <v>0.10299746556111</v>
      </c>
      <c r="O292" s="226">
        <f t="shared" si="123"/>
        <v>6.6</v>
      </c>
      <c r="P292" s="19">
        <f ca="1" t="shared" si="88"/>
        <v>19.8</v>
      </c>
      <c r="Q292" s="226">
        <f ca="1" t="shared" si="122"/>
        <v>2.88</v>
      </c>
      <c r="R292" s="269">
        <f ca="1" t="shared" si="95"/>
        <v>0.506550892383285</v>
      </c>
      <c r="S292" s="266">
        <f ca="1" t="shared" si="96"/>
        <v>47.5878651917249</v>
      </c>
      <c r="T292" s="226">
        <f ca="1">(1+OFFSET('玩法产出(新)'!$C$18,MATCH(X292,'玩法产出(新)'!$B$19:$B$25,0),1)*(1-V292)+OFFSET('玩法产出(新)'!$C$18,1+MATCH(X292,'玩法产出(新)'!$B$19:$B$25,0),1)*(V292))^AA292*(1+OFFSET('玩法产出(新)'!$C$18,MATCH(X292,'玩法产出(新)'!$B$19:$B$25,0),3)*(1-V292)+OFFSET('玩法产出(新)'!$C$18,1+MATCH(X292,'玩法产出(新)'!$B$19:$B$25,0),3)*(V292))^AB292*(1+OFFSET('玩法产出(新)'!$C$18,MATCH(X292,'玩法产出(新)'!$B$19:$B$25,0),4)*(1-V292)+OFFSET('玩法产出(新)'!$C$18,1+MATCH(X292,'玩法产出(新)'!$B$19:$B$25,0),4)*(V292))^AC292*(1+OFFSET('玩法产出(新)'!$C$18,MATCH(X292,'玩法产出(新)'!$B$19:$B$25,0),5)*(1+V292)+OFFSET('玩法产出(新)'!$C$18,1+MATCH(X292,'玩法产出(新)'!$B$19:$B$25,5),1)*(V292))^AD292*(1+OFFSET('玩法产出(新)'!$C$18,MATCH(X292,'玩法产出(新)'!$B$19:$B$25,0),6)*(1+V292)+OFFSET('玩法产出(新)'!$C$18,1+MATCH(X292,'玩法产出(新)'!$B$19:$B$25,0),6)*(V292))^AE292</f>
        <v>25.0213795804708</v>
      </c>
      <c r="U292" s="226">
        <f ca="1" t="shared" si="115"/>
        <v>0.14123097079985</v>
      </c>
      <c r="V292" s="226">
        <f ca="1">COUNTIF($X$124:$X292,X292)/(COUNTIF($X$124:$X$723,X292)+1)</f>
        <v>0.109278350515464</v>
      </c>
      <c r="W292" s="19">
        <v>30</v>
      </c>
      <c r="X292" s="19" t="s">
        <v>326</v>
      </c>
      <c r="Y292" s="19">
        <f t="shared" si="121"/>
        <v>18060</v>
      </c>
      <c r="Z292" s="19">
        <f ca="1" t="shared" si="97"/>
        <v>1.89288274080756</v>
      </c>
      <c r="AA292" s="282">
        <f ca="1" t="shared" si="98"/>
        <v>11.5159072916667</v>
      </c>
      <c r="AB292" s="282">
        <f ca="1" t="shared" si="99"/>
        <v>13.6880208333333</v>
      </c>
      <c r="AC292" s="282">
        <f ca="1" t="shared" si="100"/>
        <v>3.65415</v>
      </c>
      <c r="AD292" s="282">
        <f ca="1" t="shared" si="101"/>
        <v>0.9135375</v>
      </c>
      <c r="AE292" s="282">
        <f ca="1" t="shared" si="102"/>
        <v>0.228384375</v>
      </c>
      <c r="AF292" s="19" t="str">
        <f t="shared" si="103"/>
        <v>粉1</v>
      </c>
      <c r="AG292" s="19">
        <f>IFERROR(_xlfn.XLOOKUP(C292+1,[2]基因升级!$E$141:$E$500,[2]基因升级!$D$141:$D$500)-1,AG291)</f>
        <v>84</v>
      </c>
      <c r="AH292" s="19">
        <v>7</v>
      </c>
      <c r="AI292" s="19">
        <f t="shared" si="104"/>
        <v>9.2039189417803</v>
      </c>
      <c r="AJ292" s="19">
        <f t="shared" si="116"/>
        <v>0</v>
      </c>
      <c r="AK292" s="269">
        <v>1.864</v>
      </c>
      <c r="AL292" s="287">
        <f t="shared" si="124"/>
        <v>8.39999999999999</v>
      </c>
      <c r="AM292" s="287">
        <f t="shared" si="125"/>
        <v>4.75</v>
      </c>
      <c r="AQ292" s="19">
        <f t="shared" si="105"/>
        <v>1.76532118296262</v>
      </c>
      <c r="AR292" s="19">
        <f t="shared" si="106"/>
        <v>1.3790275546803</v>
      </c>
      <c r="AS292" s="19">
        <f t="shared" si="107"/>
        <v>1</v>
      </c>
      <c r="AT292" s="19">
        <f t="shared" si="108"/>
        <v>1</v>
      </c>
      <c r="AU292" s="19">
        <f t="shared" si="109"/>
        <v>1</v>
      </c>
      <c r="AV292" s="232">
        <f t="shared" si="89"/>
        <v>0.0399999999999991</v>
      </c>
      <c r="AW292" s="232">
        <f t="shared" si="90"/>
        <v>0.0499999999999998</v>
      </c>
      <c r="AX292" s="232">
        <f t="shared" si="91"/>
        <v>0</v>
      </c>
      <c r="AY292" s="232">
        <f t="shared" si="92"/>
        <v>0</v>
      </c>
      <c r="AZ292" s="232">
        <f t="shared" si="93"/>
        <v>0</v>
      </c>
    </row>
    <row r="293" spans="1:52">
      <c r="A293" s="269"/>
      <c r="C293" s="19">
        <v>170</v>
      </c>
      <c r="D293" s="86">
        <f ca="1" t="shared" si="117"/>
        <v>158.693870514103</v>
      </c>
      <c r="E293" s="251">
        <f ca="1" t="shared" si="94"/>
        <v>0.365569386367749</v>
      </c>
      <c r="F293" s="269">
        <f ca="1" t="shared" si="110"/>
        <v>294.831359358809</v>
      </c>
      <c r="G293" s="283">
        <f ca="1" t="shared" si="111"/>
        <v>107.781319122769</v>
      </c>
      <c r="H293" s="279">
        <f ca="1" t="shared" si="112"/>
        <v>0.224135542139166</v>
      </c>
      <c r="I293" s="269">
        <f ca="1">SUM($J$125:J293)/SUM($H$125:H293)</f>
        <v>0.602509748330055</v>
      </c>
      <c r="J293" s="284">
        <f t="shared" si="118"/>
        <v>0.121850867516208</v>
      </c>
      <c r="K293" s="19">
        <f t="shared" si="120"/>
        <v>17900</v>
      </c>
      <c r="L293" s="269">
        <f t="shared" si="113"/>
        <v>1.89499999999998</v>
      </c>
      <c r="M293" s="226">
        <f ca="1" t="shared" si="114"/>
        <v>19.14</v>
      </c>
      <c r="N293" s="280">
        <f ca="1" t="shared" si="119"/>
        <v>0.102284674622972</v>
      </c>
      <c r="O293" s="226">
        <f t="shared" si="123"/>
        <v>6.6</v>
      </c>
      <c r="P293" s="19">
        <f ca="1" t="shared" si="88"/>
        <v>20</v>
      </c>
      <c r="Q293" s="226">
        <f ca="1" t="shared" si="122"/>
        <v>2.9</v>
      </c>
      <c r="R293" s="269">
        <f ca="1" t="shared" si="95"/>
        <v>0.508056390470214</v>
      </c>
      <c r="S293" s="266">
        <f ca="1" t="shared" si="96"/>
        <v>47.7292990359535</v>
      </c>
      <c r="T293" s="226">
        <f ca="1">(1+OFFSET('玩法产出(新)'!$C$18,MATCH(X293,'玩法产出(新)'!$B$19:$B$25,0),1)*(1-V293)+OFFSET('玩法产出(新)'!$C$18,1+MATCH(X293,'玩法产出(新)'!$B$19:$B$25,0),1)*(V293))^AA293*(1+OFFSET('玩法产出(新)'!$C$18,MATCH(X293,'玩法产出(新)'!$B$19:$B$25,0),3)*(1-V293)+OFFSET('玩法产出(新)'!$C$18,1+MATCH(X293,'玩法产出(新)'!$B$19:$B$25,0),3)*(V293))^AB293*(1+OFFSET('玩法产出(新)'!$C$18,MATCH(X293,'玩法产出(新)'!$B$19:$B$25,0),4)*(1-V293)+OFFSET('玩法产出(新)'!$C$18,1+MATCH(X293,'玩法产出(新)'!$B$19:$B$25,0),4)*(V293))^AC293*(1+OFFSET('玩法产出(新)'!$C$18,MATCH(X293,'玩法产出(新)'!$B$19:$B$25,0),5)*(1+V293)+OFFSET('玩法产出(新)'!$C$18,1+MATCH(X293,'玩法产出(新)'!$B$19:$B$25,5),1)*(V293))^AD293*(1+OFFSET('玩法产出(新)'!$C$18,MATCH(X293,'玩法产出(新)'!$B$19:$B$25,0),6)*(1+V293)+OFFSET('玩法产出(新)'!$C$18,1+MATCH(X293,'玩法产出(新)'!$B$19:$B$25,0),6)*(V293))^AE293</f>
        <v>25.2619640022663</v>
      </c>
      <c r="U293" s="226">
        <f ca="1" t="shared" si="115"/>
        <v>0.141433844228569</v>
      </c>
      <c r="V293" s="226">
        <f ca="1">COUNTIF($X$124:$X293,X293)/(COUNTIF($X$124:$X$723,X293)+1)</f>
        <v>0.111340206185567</v>
      </c>
      <c r="W293" s="19">
        <v>30</v>
      </c>
      <c r="X293" s="19" t="s">
        <v>326</v>
      </c>
      <c r="Y293" s="19">
        <f t="shared" si="121"/>
        <v>18160</v>
      </c>
      <c r="Z293" s="19">
        <f ca="1" t="shared" si="97"/>
        <v>1.87742637457045</v>
      </c>
      <c r="AA293" s="282">
        <f ca="1" t="shared" si="98"/>
        <v>11.4161458333333</v>
      </c>
      <c r="AB293" s="282">
        <f ca="1" t="shared" si="99"/>
        <v>13.7604166666667</v>
      </c>
      <c r="AC293" s="282">
        <f ca="1" t="shared" si="100"/>
        <v>3.675</v>
      </c>
      <c r="AD293" s="282">
        <f ca="1" t="shared" si="101"/>
        <v>0.91875</v>
      </c>
      <c r="AE293" s="282">
        <f ca="1" t="shared" si="102"/>
        <v>0.2296875</v>
      </c>
      <c r="AF293" s="19" t="str">
        <f t="shared" si="103"/>
        <v>粉1</v>
      </c>
      <c r="AG293" s="19">
        <f>IFERROR(_xlfn.XLOOKUP(C293+1,[2]基因升级!$E$141:$E$500,[2]基因升级!$D$141:$D$500)-1,AG292)</f>
        <v>85</v>
      </c>
      <c r="AH293" s="19">
        <v>7</v>
      </c>
      <c r="AI293" s="19">
        <f t="shared" si="104"/>
        <v>9.2039189417803</v>
      </c>
      <c r="AJ293" s="19">
        <f t="shared" si="116"/>
        <v>0</v>
      </c>
      <c r="AK293" s="269">
        <v>1.864</v>
      </c>
      <c r="AL293" s="287">
        <f t="shared" si="124"/>
        <v>8.43999999999999</v>
      </c>
      <c r="AM293" s="287">
        <f t="shared" si="125"/>
        <v>4.8</v>
      </c>
      <c r="AQ293" s="19">
        <f t="shared" si="105"/>
        <v>1.77010522349142</v>
      </c>
      <c r="AR293" s="19">
        <f t="shared" si="106"/>
        <v>1.3837006115694</v>
      </c>
      <c r="AS293" s="19">
        <f t="shared" si="107"/>
        <v>1</v>
      </c>
      <c r="AT293" s="19">
        <f t="shared" si="108"/>
        <v>1</v>
      </c>
      <c r="AU293" s="19">
        <f t="shared" si="109"/>
        <v>1</v>
      </c>
      <c r="AV293" s="232">
        <f t="shared" si="89"/>
        <v>0.0399999999999991</v>
      </c>
      <c r="AW293" s="232">
        <f t="shared" si="90"/>
        <v>0.0499999999999998</v>
      </c>
      <c r="AX293" s="232">
        <f t="shared" si="91"/>
        <v>0</v>
      </c>
      <c r="AY293" s="232">
        <f t="shared" si="92"/>
        <v>0</v>
      </c>
      <c r="AZ293" s="232">
        <f t="shared" si="93"/>
        <v>0</v>
      </c>
    </row>
    <row r="294" spans="1:52">
      <c r="A294" s="269"/>
      <c r="C294" s="19">
        <v>171</v>
      </c>
      <c r="D294" s="86">
        <f ca="1" t="shared" si="117"/>
        <v>159.058375484407</v>
      </c>
      <c r="E294" s="251">
        <f ca="1" t="shared" si="94"/>
        <v>0.36450497030397</v>
      </c>
      <c r="F294" s="269">
        <f ca="1" t="shared" si="110"/>
        <v>296.303744203991</v>
      </c>
      <c r="G294" s="283">
        <f ca="1" t="shared" si="111"/>
        <v>108.004187482031</v>
      </c>
      <c r="H294" s="279">
        <f ca="1" t="shared" si="112"/>
        <v>0.222868359261696</v>
      </c>
      <c r="I294" s="269">
        <f ca="1">SUM($J$125:J294)/SUM($H$125:H294)</f>
        <v>0.602377165409502</v>
      </c>
      <c r="J294" s="284">
        <f t="shared" si="118"/>
        <v>0.121286677646779</v>
      </c>
      <c r="K294" s="19">
        <f t="shared" si="120"/>
        <v>18000</v>
      </c>
      <c r="L294" s="269">
        <f t="shared" si="113"/>
        <v>1.89999999999998</v>
      </c>
      <c r="M294" s="226">
        <f ca="1" t="shared" si="114"/>
        <v>19.272</v>
      </c>
      <c r="N294" s="280">
        <f ca="1" t="shared" si="119"/>
        <v>0.101581681614896</v>
      </c>
      <c r="O294" s="226">
        <f t="shared" si="123"/>
        <v>6.6</v>
      </c>
      <c r="P294" s="19">
        <f ca="1" t="shared" si="88"/>
        <v>20.2</v>
      </c>
      <c r="Q294" s="226">
        <f ca="1" t="shared" si="122"/>
        <v>2.92</v>
      </c>
      <c r="R294" s="269">
        <f ca="1" t="shared" si="95"/>
        <v>0.509564046916423</v>
      </c>
      <c r="S294" s="266">
        <f ca="1" t="shared" si="96"/>
        <v>47.8709356469958</v>
      </c>
      <c r="T294" s="226">
        <f ca="1">(1+OFFSET('玩法产出(新)'!$C$18,MATCH(X294,'玩法产出(新)'!$B$19:$B$25,0),1)*(1-V294)+OFFSET('玩法产出(新)'!$C$18,1+MATCH(X294,'玩法产出(新)'!$B$19:$B$25,0),1)*(V294))^AA294*(1+OFFSET('玩法产出(新)'!$C$18,MATCH(X294,'玩法产出(新)'!$B$19:$B$25,0),3)*(1-V294)+OFFSET('玩法产出(新)'!$C$18,1+MATCH(X294,'玩法产出(新)'!$B$19:$B$25,0),3)*(V294))^AB294*(1+OFFSET('玩法产出(新)'!$C$18,MATCH(X294,'玩法产出(新)'!$B$19:$B$25,0),4)*(1-V294)+OFFSET('玩法产出(新)'!$C$18,1+MATCH(X294,'玩法产出(新)'!$B$19:$B$25,0),4)*(V294))^AC294*(1+OFFSET('玩法产出(新)'!$C$18,MATCH(X294,'玩法产出(新)'!$B$19:$B$25,0),5)*(1+V294)+OFFSET('玩法产出(新)'!$C$18,1+MATCH(X294,'玩法产出(新)'!$B$19:$B$25,5),1)*(V294))^AD294*(1+OFFSET('玩法产出(新)'!$C$18,MATCH(X294,'玩法产出(新)'!$B$19:$B$25,0),6)*(1+V294)+OFFSET('玩法产出(新)'!$C$18,1+MATCH(X294,'玩法产出(新)'!$B$19:$B$25,0),6)*(V294))^AE294</f>
        <v>25.5052115821401</v>
      </c>
      <c r="U294" s="226">
        <f ca="1" t="shared" si="115"/>
        <v>0.141636611042295</v>
      </c>
      <c r="V294" s="226">
        <f ca="1">COUNTIF($X$124:$X294,X294)/(COUNTIF($X$124:$X$723,X294)+1)</f>
        <v>0.11340206185567</v>
      </c>
      <c r="W294" s="19">
        <v>30</v>
      </c>
      <c r="X294" s="19" t="s">
        <v>326</v>
      </c>
      <c r="Y294" s="19">
        <f t="shared" si="121"/>
        <v>18260</v>
      </c>
      <c r="Z294" s="19">
        <f ca="1" t="shared" si="97"/>
        <v>1.86195355283505</v>
      </c>
      <c r="AA294" s="282">
        <f ca="1" t="shared" si="98"/>
        <v>11.316384375</v>
      </c>
      <c r="AB294" s="282">
        <f ca="1" t="shared" si="99"/>
        <v>13.8328125</v>
      </c>
      <c r="AC294" s="282">
        <f ca="1" t="shared" si="100"/>
        <v>3.69585</v>
      </c>
      <c r="AD294" s="282">
        <f ca="1" t="shared" si="101"/>
        <v>0.9239625</v>
      </c>
      <c r="AE294" s="282">
        <f ca="1" t="shared" si="102"/>
        <v>0.230990625</v>
      </c>
      <c r="AF294" s="19" t="str">
        <f t="shared" si="103"/>
        <v>粉1</v>
      </c>
      <c r="AG294" s="19">
        <f>IFERROR(_xlfn.XLOOKUP(C294+1,[2]基因升级!$E$141:$E$500,[2]基因升级!$D$141:$D$500)-1,AG293)</f>
        <v>85</v>
      </c>
      <c r="AH294" s="19">
        <v>7</v>
      </c>
      <c r="AI294" s="19">
        <f t="shared" si="104"/>
        <v>9.2039189417803</v>
      </c>
      <c r="AJ294" s="19">
        <f t="shared" si="116"/>
        <v>0</v>
      </c>
      <c r="AK294" s="269">
        <v>1.864</v>
      </c>
      <c r="AL294" s="287">
        <f t="shared" si="124"/>
        <v>8.47999999999999</v>
      </c>
      <c r="AM294" s="287">
        <f t="shared" si="125"/>
        <v>4.85</v>
      </c>
      <c r="AQ294" s="19">
        <f t="shared" si="105"/>
        <v>1.77490222882459</v>
      </c>
      <c r="AR294" s="19">
        <f t="shared" si="106"/>
        <v>1.38838950386411</v>
      </c>
      <c r="AS294" s="19">
        <f t="shared" si="107"/>
        <v>1</v>
      </c>
      <c r="AT294" s="19">
        <f t="shared" si="108"/>
        <v>1</v>
      </c>
      <c r="AU294" s="19">
        <f t="shared" si="109"/>
        <v>1</v>
      </c>
      <c r="AV294" s="232">
        <f t="shared" si="89"/>
        <v>0.0399999999999991</v>
      </c>
      <c r="AW294" s="232">
        <f t="shared" si="90"/>
        <v>0.0499999999999998</v>
      </c>
      <c r="AX294" s="232">
        <f t="shared" si="91"/>
        <v>0</v>
      </c>
      <c r="AY294" s="232">
        <f t="shared" si="92"/>
        <v>0</v>
      </c>
      <c r="AZ294" s="232">
        <f t="shared" si="93"/>
        <v>0</v>
      </c>
    </row>
    <row r="295" spans="1:52">
      <c r="A295" s="269"/>
      <c r="C295" s="19">
        <v>172</v>
      </c>
      <c r="D295" s="86">
        <f ca="1" t="shared" si="117"/>
        <v>159.42183118164</v>
      </c>
      <c r="E295" s="251">
        <f ca="1" t="shared" si="94"/>
        <v>0.363455697233393</v>
      </c>
      <c r="F295" s="269">
        <f ca="1" t="shared" si="110"/>
        <v>297.768902046894</v>
      </c>
      <c r="G295" s="283">
        <f ca="1" t="shared" si="111"/>
        <v>108.225803907876</v>
      </c>
      <c r="H295" s="279">
        <f ca="1" t="shared" si="112"/>
        <v>0.221616425845212</v>
      </c>
      <c r="I295" s="269">
        <f ca="1">SUM($J$125:J295)/SUM($H$125:H295)</f>
        <v>0.602247173758132</v>
      </c>
      <c r="J295" s="284">
        <f t="shared" si="118"/>
        <v>0.12072813995163</v>
      </c>
      <c r="K295" s="19">
        <f t="shared" si="120"/>
        <v>18100</v>
      </c>
      <c r="L295" s="269">
        <f t="shared" si="113"/>
        <v>1.90499999999998</v>
      </c>
      <c r="M295" s="226">
        <f ca="1" t="shared" si="114"/>
        <v>19.404</v>
      </c>
      <c r="N295" s="280">
        <f ca="1" t="shared" si="119"/>
        <v>0.100888285893589</v>
      </c>
      <c r="O295" s="226">
        <f t="shared" si="123"/>
        <v>6.6</v>
      </c>
      <c r="P295" s="19">
        <f ca="1" t="shared" si="88"/>
        <v>20.4</v>
      </c>
      <c r="Q295" s="226">
        <f ca="1" t="shared" si="122"/>
        <v>2.94</v>
      </c>
      <c r="R295" s="269">
        <f ca="1" t="shared" si="95"/>
        <v>0.51107386058861</v>
      </c>
      <c r="S295" s="266">
        <f ca="1" t="shared" si="96"/>
        <v>48.0127749183839</v>
      </c>
      <c r="T295" s="226">
        <f ca="1">(1+OFFSET('玩法产出(新)'!$C$18,MATCH(X295,'玩法产出(新)'!$B$19:$B$25,0),1)*(1-V295)+OFFSET('玩法产出(新)'!$C$18,1+MATCH(X295,'玩法产出(新)'!$B$19:$B$25,0),1)*(V295))^AA295*(1+OFFSET('玩法产出(新)'!$C$18,MATCH(X295,'玩法产出(新)'!$B$19:$B$25,0),3)*(1-V295)+OFFSET('玩法产出(新)'!$C$18,1+MATCH(X295,'玩法产出(新)'!$B$19:$B$25,0),3)*(V295))^AB295*(1+OFFSET('玩法产出(新)'!$C$18,MATCH(X295,'玩法产出(新)'!$B$19:$B$25,0),4)*(1-V295)+OFFSET('玩法产出(新)'!$C$18,1+MATCH(X295,'玩法产出(新)'!$B$19:$B$25,0),4)*(V295))^AC295*(1+OFFSET('玩法产出(新)'!$C$18,MATCH(X295,'玩法产出(新)'!$B$19:$B$25,0),5)*(1+V295)+OFFSET('玩法产出(新)'!$C$18,1+MATCH(X295,'玩法产出(新)'!$B$19:$B$25,5),1)*(V295))^AD295*(1+OFFSET('玩法产出(新)'!$C$18,MATCH(X295,'玩法产出(新)'!$B$19:$B$25,0),6)*(1+V295)+OFFSET('玩法产出(新)'!$C$18,1+MATCH(X295,'玩法产出(新)'!$B$19:$B$25,0),6)*(V295))^AE295</f>
        <v>25.7511544845284</v>
      </c>
      <c r="U295" s="226">
        <f ca="1" t="shared" si="115"/>
        <v>0.141839271388174</v>
      </c>
      <c r="V295" s="226">
        <f ca="1">COUNTIF($X$124:$X295,X295)/(COUNTIF($X$124:$X$723,X295)+1)</f>
        <v>0.115463917525773</v>
      </c>
      <c r="W295" s="19">
        <v>30</v>
      </c>
      <c r="X295" s="19" t="s">
        <v>326</v>
      </c>
      <c r="Y295" s="19">
        <f t="shared" si="121"/>
        <v>18360</v>
      </c>
      <c r="Z295" s="19">
        <f ca="1" t="shared" si="97"/>
        <v>1.84646427560137</v>
      </c>
      <c r="AA295" s="282">
        <f ca="1" t="shared" si="98"/>
        <v>11.2166229166667</v>
      </c>
      <c r="AB295" s="282">
        <f ca="1" t="shared" si="99"/>
        <v>13.9052083333333</v>
      </c>
      <c r="AC295" s="282">
        <f ca="1" t="shared" si="100"/>
        <v>3.7167</v>
      </c>
      <c r="AD295" s="282">
        <f ca="1" t="shared" si="101"/>
        <v>0.929175</v>
      </c>
      <c r="AE295" s="282">
        <f ca="1" t="shared" si="102"/>
        <v>0.23229375</v>
      </c>
      <c r="AF295" s="19" t="str">
        <f t="shared" si="103"/>
        <v>粉1</v>
      </c>
      <c r="AG295" s="19">
        <f>IFERROR(_xlfn.XLOOKUP(C295+1,[2]基因升级!$E$141:$E$500,[2]基因升级!$D$141:$D$500)-1,AG294)</f>
        <v>85</v>
      </c>
      <c r="AH295" s="19">
        <v>7</v>
      </c>
      <c r="AI295" s="19">
        <f t="shared" si="104"/>
        <v>9.2039189417803</v>
      </c>
      <c r="AJ295" s="19">
        <f t="shared" si="116"/>
        <v>0</v>
      </c>
      <c r="AK295" s="269">
        <v>1.864</v>
      </c>
      <c r="AL295" s="287">
        <f t="shared" si="124"/>
        <v>8.51999999999999</v>
      </c>
      <c r="AM295" s="287">
        <f t="shared" si="125"/>
        <v>4.9</v>
      </c>
      <c r="AQ295" s="19">
        <f t="shared" si="105"/>
        <v>1.7797122340969</v>
      </c>
      <c r="AR295" s="19">
        <f t="shared" si="106"/>
        <v>1.39309428522527</v>
      </c>
      <c r="AS295" s="19">
        <f t="shared" si="107"/>
        <v>1</v>
      </c>
      <c r="AT295" s="19">
        <f t="shared" si="108"/>
        <v>1</v>
      </c>
      <c r="AU295" s="19">
        <f t="shared" si="109"/>
        <v>1</v>
      </c>
      <c r="AV295" s="232">
        <f t="shared" si="89"/>
        <v>0.0399999999999991</v>
      </c>
      <c r="AW295" s="232">
        <f t="shared" si="90"/>
        <v>0.0499999999999998</v>
      </c>
      <c r="AX295" s="232">
        <f t="shared" si="91"/>
        <v>0</v>
      </c>
      <c r="AY295" s="232">
        <f t="shared" si="92"/>
        <v>0</v>
      </c>
      <c r="AZ295" s="232">
        <f t="shared" si="93"/>
        <v>0</v>
      </c>
    </row>
    <row r="296" spans="1:52">
      <c r="A296" s="269"/>
      <c r="C296" s="19">
        <v>173</v>
      </c>
      <c r="D296" s="86">
        <f ca="1" t="shared" si="117"/>
        <v>159.784252465002</v>
      </c>
      <c r="E296" s="251">
        <f ca="1" t="shared" si="94"/>
        <v>0.362421283361627</v>
      </c>
      <c r="F296" s="269">
        <f ca="1" t="shared" si="110"/>
        <v>299.226862064876</v>
      </c>
      <c r="G296" s="283">
        <f ca="1" t="shared" si="111"/>
        <v>108.446183365825</v>
      </c>
      <c r="H296" s="279">
        <f ca="1" t="shared" si="112"/>
        <v>0.220379457949022</v>
      </c>
      <c r="I296" s="269">
        <f ca="1">SUM($J$125:J296)/SUM($H$125:H296)</f>
        <v>0.602119715896557</v>
      </c>
      <c r="J296" s="284">
        <f t="shared" si="118"/>
        <v>0.120175165692096</v>
      </c>
      <c r="K296" s="19">
        <f t="shared" si="120"/>
        <v>18200</v>
      </c>
      <c r="L296" s="269">
        <f t="shared" si="113"/>
        <v>1.90999999999998</v>
      </c>
      <c r="M296" s="226">
        <f ca="1" t="shared" si="114"/>
        <v>19.536</v>
      </c>
      <c r="N296" s="280">
        <f ca="1" t="shared" si="119"/>
        <v>0.100204292256926</v>
      </c>
      <c r="O296" s="226">
        <f t="shared" si="123"/>
        <v>6.6</v>
      </c>
      <c r="P296" s="19">
        <f ca="1" t="shared" si="88"/>
        <v>20.6</v>
      </c>
      <c r="Q296" s="226">
        <f ca="1" t="shared" si="122"/>
        <v>2.96</v>
      </c>
      <c r="R296" s="269">
        <f ca="1" t="shared" si="95"/>
        <v>0.512585830355033</v>
      </c>
      <c r="S296" s="266">
        <f ca="1" t="shared" si="96"/>
        <v>48.1548167437965</v>
      </c>
      <c r="T296" s="226">
        <f ca="1">(1+OFFSET('玩法产出(新)'!$C$18,MATCH(X296,'玩法产出(新)'!$B$19:$B$25,0),1)*(1-V296)+OFFSET('玩法产出(新)'!$C$18,1+MATCH(X296,'玩法产出(新)'!$B$19:$B$25,0),1)*(V296))^AA296*(1+OFFSET('玩法产出(新)'!$C$18,MATCH(X296,'玩法产出(新)'!$B$19:$B$25,0),3)*(1-V296)+OFFSET('玩法产出(新)'!$C$18,1+MATCH(X296,'玩法产出(新)'!$B$19:$B$25,0),3)*(V296))^AB296*(1+OFFSET('玩法产出(新)'!$C$18,MATCH(X296,'玩法产出(新)'!$B$19:$B$25,0),4)*(1-V296)+OFFSET('玩法产出(新)'!$C$18,1+MATCH(X296,'玩法产出(新)'!$B$19:$B$25,0),4)*(V296))^AC296*(1+OFFSET('玩法产出(新)'!$C$18,MATCH(X296,'玩法产出(新)'!$B$19:$B$25,0),5)*(1+V296)+OFFSET('玩法产出(新)'!$C$18,1+MATCH(X296,'玩法产出(新)'!$B$19:$B$25,5),1)*(V296))^AD296*(1+OFFSET('玩法产出(新)'!$C$18,MATCH(X296,'玩法产出(新)'!$B$19:$B$25,0),6)*(1+V296)+OFFSET('玩法产出(新)'!$C$18,1+MATCH(X296,'玩法产出(新)'!$B$19:$B$25,0),6)*(V296))^AE296</f>
        <v>25.9998252901556</v>
      </c>
      <c r="U296" s="226">
        <f ca="1" t="shared" si="115"/>
        <v>0.142041825412605</v>
      </c>
      <c r="V296" s="226">
        <f ca="1">COUNTIF($X$124:$X296,X296)/(COUNTIF($X$124:$X$723,X296)+1)</f>
        <v>0.117525773195876</v>
      </c>
      <c r="W296" s="19">
        <v>30</v>
      </c>
      <c r="X296" s="19" t="s">
        <v>326</v>
      </c>
      <c r="Y296" s="19">
        <f t="shared" si="121"/>
        <v>18460</v>
      </c>
      <c r="Z296" s="19">
        <f ca="1" t="shared" si="97"/>
        <v>1.83095854286942</v>
      </c>
      <c r="AA296" s="282">
        <f ca="1" t="shared" si="98"/>
        <v>11.1168614583333</v>
      </c>
      <c r="AB296" s="282">
        <f ca="1" t="shared" si="99"/>
        <v>13.9776041666667</v>
      </c>
      <c r="AC296" s="282">
        <f ca="1" t="shared" si="100"/>
        <v>3.73755</v>
      </c>
      <c r="AD296" s="282">
        <f ca="1" t="shared" si="101"/>
        <v>0.9343875</v>
      </c>
      <c r="AE296" s="282">
        <f ca="1" t="shared" si="102"/>
        <v>0.233596875</v>
      </c>
      <c r="AF296" s="19" t="str">
        <f t="shared" si="103"/>
        <v>粉1</v>
      </c>
      <c r="AG296" s="19">
        <f>IFERROR(_xlfn.XLOOKUP(C296+1,[2]基因升级!$E$141:$E$500,[2]基因升级!$D$141:$D$500)-1,AG295)</f>
        <v>85</v>
      </c>
      <c r="AH296" s="19">
        <v>7</v>
      </c>
      <c r="AI296" s="19">
        <f t="shared" si="104"/>
        <v>9.2039189417803</v>
      </c>
      <c r="AJ296" s="19">
        <f t="shared" si="116"/>
        <v>0</v>
      </c>
      <c r="AK296" s="269">
        <v>1.864</v>
      </c>
      <c r="AL296" s="287">
        <f t="shared" si="124"/>
        <v>8.55999999999999</v>
      </c>
      <c r="AM296" s="287">
        <f t="shared" si="125"/>
        <v>4.95</v>
      </c>
      <c r="AQ296" s="19">
        <f t="shared" si="105"/>
        <v>1.78453527453832</v>
      </c>
      <c r="AR296" s="19">
        <f t="shared" si="106"/>
        <v>1.39781500949553</v>
      </c>
      <c r="AS296" s="19">
        <f t="shared" si="107"/>
        <v>1</v>
      </c>
      <c r="AT296" s="19">
        <f t="shared" si="108"/>
        <v>1</v>
      </c>
      <c r="AU296" s="19">
        <f t="shared" si="109"/>
        <v>1</v>
      </c>
      <c r="AV296" s="232">
        <f t="shared" si="89"/>
        <v>0.0399999999999991</v>
      </c>
      <c r="AW296" s="232">
        <f t="shared" si="90"/>
        <v>0.0499999999999998</v>
      </c>
      <c r="AX296" s="232">
        <f t="shared" si="91"/>
        <v>0</v>
      </c>
      <c r="AY296" s="232">
        <f t="shared" si="92"/>
        <v>0</v>
      </c>
      <c r="AZ296" s="232">
        <f t="shared" si="93"/>
        <v>0</v>
      </c>
    </row>
    <row r="297" spans="1:52">
      <c r="A297" s="269"/>
      <c r="C297" s="19">
        <v>174</v>
      </c>
      <c r="D297" s="86">
        <f ca="1" t="shared" si="117"/>
        <v>160.145653917051</v>
      </c>
      <c r="E297" s="251">
        <f ca="1" t="shared" si="94"/>
        <v>0.361401452048878</v>
      </c>
      <c r="F297" s="269">
        <f ca="1" t="shared" si="110"/>
        <v>300.677653419929</v>
      </c>
      <c r="G297" s="283">
        <f ca="1" t="shared" si="111"/>
        <v>108.665340544612</v>
      </c>
      <c r="H297" s="279">
        <f ca="1" t="shared" si="112"/>
        <v>0.219157178786674</v>
      </c>
      <c r="I297" s="269">
        <f ca="1">SUM($J$125:J297)/SUM($H$125:H297)</f>
        <v>0.601994735937699</v>
      </c>
      <c r="J297" s="284">
        <f t="shared" si="118"/>
        <v>0.11962766802575</v>
      </c>
      <c r="K297" s="19">
        <f t="shared" si="120"/>
        <v>18300</v>
      </c>
      <c r="L297" s="269">
        <f t="shared" si="113"/>
        <v>1.91499999999998</v>
      </c>
      <c r="M297" s="226">
        <f ca="1" t="shared" si="114"/>
        <v>19.668</v>
      </c>
      <c r="N297" s="280">
        <f ca="1" t="shared" si="119"/>
        <v>0.0995295107609167</v>
      </c>
      <c r="O297" s="226">
        <f t="shared" si="123"/>
        <v>6.6</v>
      </c>
      <c r="P297" s="19">
        <f ca="1" t="shared" si="88"/>
        <v>20.8</v>
      </c>
      <c r="Q297" s="226">
        <f ca="1" t="shared" si="122"/>
        <v>2.98</v>
      </c>
      <c r="R297" s="269">
        <f ca="1" t="shared" si="95"/>
        <v>0.51409995508551</v>
      </c>
      <c r="S297" s="266">
        <f ca="1" t="shared" si="96"/>
        <v>48.2970610170587</v>
      </c>
      <c r="T297" s="226">
        <f ca="1">(1+OFFSET('玩法产出(新)'!$C$18,MATCH(X297,'玩法产出(新)'!$B$19:$B$25,0),1)*(1-V297)+OFFSET('玩法产出(新)'!$C$18,1+MATCH(X297,'玩法产出(新)'!$B$19:$B$25,0),1)*(V297))^AA297*(1+OFFSET('玩法产出(新)'!$C$18,MATCH(X297,'玩法产出(新)'!$B$19:$B$25,0),3)*(1-V297)+OFFSET('玩法产出(新)'!$C$18,1+MATCH(X297,'玩法产出(新)'!$B$19:$B$25,0),3)*(V297))^AB297*(1+OFFSET('玩法产出(新)'!$C$18,MATCH(X297,'玩法产出(新)'!$B$19:$B$25,0),4)*(1-V297)+OFFSET('玩法产出(新)'!$C$18,1+MATCH(X297,'玩法产出(新)'!$B$19:$B$25,0),4)*(V297))^AC297*(1+OFFSET('玩法产出(新)'!$C$18,MATCH(X297,'玩法产出(新)'!$B$19:$B$25,0),5)*(1+V297)+OFFSET('玩法产出(新)'!$C$18,1+MATCH(X297,'玩法产出(新)'!$B$19:$B$25,5),1)*(V297))^AD297*(1+OFFSET('玩法产出(新)'!$C$18,MATCH(X297,'玩法产出(新)'!$B$19:$B$25,0),6)*(1+V297)+OFFSET('玩法产出(新)'!$C$18,1+MATCH(X297,'玩法产出(新)'!$B$19:$B$25,0),6)*(V297))^AE297</f>
        <v>26.251257001736</v>
      </c>
      <c r="U297" s="226">
        <f ca="1" t="shared" si="115"/>
        <v>0.142244273262211</v>
      </c>
      <c r="V297" s="226">
        <f ca="1">COUNTIF($X$124:$X297,X297)/(COUNTIF($X$124:$X$723,X297)+1)</f>
        <v>0.119587628865979</v>
      </c>
      <c r="W297" s="19">
        <v>30</v>
      </c>
      <c r="X297" s="19" t="s">
        <v>326</v>
      </c>
      <c r="Y297" s="19">
        <f t="shared" si="121"/>
        <v>18560</v>
      </c>
      <c r="Z297" s="19">
        <f ca="1" t="shared" si="97"/>
        <v>1.81543635463918</v>
      </c>
      <c r="AA297" s="282">
        <f ca="1" t="shared" si="98"/>
        <v>11.0171</v>
      </c>
      <c r="AB297" s="282">
        <f ca="1" t="shared" si="99"/>
        <v>14.05</v>
      </c>
      <c r="AC297" s="282">
        <f ca="1" t="shared" si="100"/>
        <v>3.7584</v>
      </c>
      <c r="AD297" s="282">
        <f ca="1" t="shared" si="101"/>
        <v>0.9396</v>
      </c>
      <c r="AE297" s="282">
        <f ca="1" t="shared" si="102"/>
        <v>0.2349</v>
      </c>
      <c r="AF297" s="19" t="str">
        <f t="shared" si="103"/>
        <v>粉1</v>
      </c>
      <c r="AG297" s="19">
        <f>IFERROR(_xlfn.XLOOKUP(C297+1,[2]基因升级!$E$141:$E$500,[2]基因升级!$D$141:$D$500)-1,AG296)</f>
        <v>85</v>
      </c>
      <c r="AH297" s="19">
        <v>7</v>
      </c>
      <c r="AI297" s="19">
        <f t="shared" si="104"/>
        <v>9.2039189417803</v>
      </c>
      <c r="AJ297" s="19">
        <f t="shared" si="116"/>
        <v>0</v>
      </c>
      <c r="AK297" s="269">
        <v>1.864</v>
      </c>
      <c r="AL297" s="287">
        <f t="shared" si="124"/>
        <v>8.59999999999999</v>
      </c>
      <c r="AM297" s="287">
        <f t="shared" si="125"/>
        <v>5</v>
      </c>
      <c r="AQ297" s="19">
        <f t="shared" si="105"/>
        <v>1.78937138547432</v>
      </c>
      <c r="AR297" s="19">
        <f t="shared" si="106"/>
        <v>1.4025517307</v>
      </c>
      <c r="AS297" s="19">
        <f t="shared" si="107"/>
        <v>1</v>
      </c>
      <c r="AT297" s="19">
        <f t="shared" si="108"/>
        <v>1</v>
      </c>
      <c r="AU297" s="19">
        <f t="shared" si="109"/>
        <v>1</v>
      </c>
      <c r="AV297" s="232">
        <f t="shared" si="89"/>
        <v>0.0399999999999991</v>
      </c>
      <c r="AW297" s="232">
        <f t="shared" si="90"/>
        <v>0.0499999999999998</v>
      </c>
      <c r="AX297" s="232">
        <f t="shared" si="91"/>
        <v>0</v>
      </c>
      <c r="AY297" s="232">
        <f t="shared" si="92"/>
        <v>0</v>
      </c>
      <c r="AZ297" s="232">
        <f t="shared" si="93"/>
        <v>0</v>
      </c>
    </row>
    <row r="298" spans="1:52">
      <c r="A298" s="269"/>
      <c r="C298" s="19">
        <v>175</v>
      </c>
      <c r="D298" s="86">
        <f ca="1" t="shared" si="117"/>
        <v>160.506049850633</v>
      </c>
      <c r="E298" s="251">
        <f ca="1" t="shared" si="94"/>
        <v>0.360395933581986</v>
      </c>
      <c r="F298" s="269">
        <f ca="1" t="shared" si="110"/>
        <v>302.121305257017</v>
      </c>
      <c r="G298" s="283">
        <f ca="1" t="shared" si="111"/>
        <v>108.883289863111</v>
      </c>
      <c r="H298" s="279">
        <f ca="1" t="shared" si="112"/>
        <v>0.217949318499166</v>
      </c>
      <c r="I298" s="269">
        <f ca="1">SUM($J$125:J298)/SUM($H$125:H298)</f>
        <v>0.601872179533082</v>
      </c>
      <c r="J298" s="284">
        <f t="shared" si="118"/>
        <v>0.119085561955373</v>
      </c>
      <c r="K298" s="19">
        <f t="shared" si="120"/>
        <v>18400</v>
      </c>
      <c r="L298" s="269">
        <f t="shared" si="113"/>
        <v>1.91999999999998</v>
      </c>
      <c r="M298" s="226">
        <f ca="1" t="shared" si="114"/>
        <v>19.8</v>
      </c>
      <c r="N298" s="280">
        <f ca="1" t="shared" si="119"/>
        <v>0.0988637565437926</v>
      </c>
      <c r="O298" s="226">
        <f t="shared" si="123"/>
        <v>6.6</v>
      </c>
      <c r="P298" s="19">
        <f ca="1" t="shared" si="88"/>
        <v>21</v>
      </c>
      <c r="Q298" s="226">
        <f ca="1" t="shared" si="122"/>
        <v>3</v>
      </c>
      <c r="R298" s="269">
        <f ca="1" t="shared" si="95"/>
        <v>0.515616233651411</v>
      </c>
      <c r="S298" s="266">
        <f ca="1" t="shared" si="96"/>
        <v>48.4395076321416</v>
      </c>
      <c r="T298" s="226">
        <f ca="1">(1+OFFSET('玩法产出(新)'!$C$18,MATCH(X298,'玩法产出(新)'!$B$19:$B$25,0),1)*(1-V298)+OFFSET('玩法产出(新)'!$C$18,1+MATCH(X298,'玩法产出(新)'!$B$19:$B$25,0),1)*(V298))^AA298*(1+OFFSET('玩法产出(新)'!$C$18,MATCH(X298,'玩法产出(新)'!$B$19:$B$25,0),3)*(1-V298)+OFFSET('玩法产出(新)'!$C$18,1+MATCH(X298,'玩法产出(新)'!$B$19:$B$25,0),3)*(V298))^AB298*(1+OFFSET('玩法产出(新)'!$C$18,MATCH(X298,'玩法产出(新)'!$B$19:$B$25,0),4)*(1-V298)+OFFSET('玩法产出(新)'!$C$18,1+MATCH(X298,'玩法产出(新)'!$B$19:$B$25,0),4)*(V298))^AC298*(1+OFFSET('玩法产出(新)'!$C$18,MATCH(X298,'玩法产出(新)'!$B$19:$B$25,0),5)*(1+V298)+OFFSET('玩法产出(新)'!$C$18,1+MATCH(X298,'玩法产出(新)'!$B$19:$B$25,5),1)*(V298))^AD298*(1+OFFSET('玩法产出(新)'!$C$18,MATCH(X298,'玩法产出(新)'!$B$19:$B$25,0),6)*(1+V298)+OFFSET('玩法产出(新)'!$C$18,1+MATCH(X298,'玩法产出(新)'!$B$19:$B$25,0),6)*(V298))^AE298</f>
        <v>26.5054830497563</v>
      </c>
      <c r="U298" s="226">
        <f ca="1" t="shared" si="115"/>
        <v>0.142446615082821</v>
      </c>
      <c r="V298" s="226">
        <f ca="1">COUNTIF($X$124:$X298,X298)/(COUNTIF($X$124:$X$723,X298)+1)</f>
        <v>0.121649484536082</v>
      </c>
      <c r="W298" s="19">
        <v>30</v>
      </c>
      <c r="X298" s="19" t="s">
        <v>326</v>
      </c>
      <c r="Y298" s="19">
        <f t="shared" si="121"/>
        <v>18660</v>
      </c>
      <c r="Z298" s="19">
        <f ca="1" t="shared" si="97"/>
        <v>1.79989771091065</v>
      </c>
      <c r="AA298" s="282">
        <f ca="1" t="shared" si="98"/>
        <v>10.9173385416667</v>
      </c>
      <c r="AB298" s="282">
        <f ca="1" t="shared" si="99"/>
        <v>14.1223958333333</v>
      </c>
      <c r="AC298" s="282">
        <f ca="1" t="shared" si="100"/>
        <v>3.77925</v>
      </c>
      <c r="AD298" s="282">
        <f ca="1" t="shared" si="101"/>
        <v>0.9448125</v>
      </c>
      <c r="AE298" s="282">
        <f ca="1" t="shared" si="102"/>
        <v>0.236203125</v>
      </c>
      <c r="AF298" s="19" t="str">
        <f t="shared" si="103"/>
        <v>粉1</v>
      </c>
      <c r="AG298" s="19">
        <f>IFERROR(_xlfn.XLOOKUP(C298+1,[2]基因升级!$E$141:$E$500,[2]基因升级!$D$141:$D$500)-1,AG297)</f>
        <v>85</v>
      </c>
      <c r="AH298" s="19">
        <v>7</v>
      </c>
      <c r="AI298" s="19">
        <f t="shared" si="104"/>
        <v>9.2039189417803</v>
      </c>
      <c r="AJ298" s="19">
        <f t="shared" si="116"/>
        <v>0</v>
      </c>
      <c r="AK298" s="269">
        <v>1.864</v>
      </c>
      <c r="AL298" s="287">
        <f t="shared" si="124"/>
        <v>8.63999999999999</v>
      </c>
      <c r="AM298" s="287">
        <f t="shared" si="125"/>
        <v>5.04</v>
      </c>
      <c r="AQ298" s="19">
        <f t="shared" si="105"/>
        <v>1.79422060232608</v>
      </c>
      <c r="AR298" s="19">
        <f t="shared" si="106"/>
        <v>1.40635266187795</v>
      </c>
      <c r="AS298" s="19">
        <f t="shared" si="107"/>
        <v>1</v>
      </c>
      <c r="AT298" s="19">
        <f t="shared" si="108"/>
        <v>1</v>
      </c>
      <c r="AU298" s="19">
        <f t="shared" si="109"/>
        <v>1</v>
      </c>
      <c r="AV298" s="232">
        <f t="shared" si="89"/>
        <v>0.0399999999999991</v>
      </c>
      <c r="AW298" s="232">
        <f t="shared" si="90"/>
        <v>0.04</v>
      </c>
      <c r="AX298" s="232">
        <f t="shared" si="91"/>
        <v>0</v>
      </c>
      <c r="AY298" s="232">
        <f t="shared" si="92"/>
        <v>0</v>
      </c>
      <c r="AZ298" s="232">
        <f t="shared" si="93"/>
        <v>0</v>
      </c>
    </row>
    <row r="299" spans="1:52">
      <c r="A299" s="269"/>
      <c r="C299" s="19">
        <v>176</v>
      </c>
      <c r="D299" s="86">
        <f ca="1" t="shared" si="117"/>
        <v>160.86545431559</v>
      </c>
      <c r="E299" s="251">
        <f ca="1" t="shared" si="94"/>
        <v>0.359404464956847</v>
      </c>
      <c r="F299" s="269">
        <f ca="1" t="shared" si="110"/>
        <v>303.557846701061</v>
      </c>
      <c r="G299" s="283">
        <f ca="1" t="shared" si="111"/>
        <v>109.100045477047</v>
      </c>
      <c r="H299" s="279">
        <f ca="1" t="shared" si="112"/>
        <v>0.216755613936641</v>
      </c>
      <c r="I299" s="269">
        <f ca="1">SUM($J$125:J299)/SUM($H$125:H299)</f>
        <v>0.601751993821267</v>
      </c>
      <c r="J299" s="284">
        <f t="shared" si="118"/>
        <v>0.118548764279574</v>
      </c>
      <c r="K299" s="19">
        <f t="shared" si="120"/>
        <v>18500</v>
      </c>
      <c r="L299" s="269">
        <f t="shared" si="113"/>
        <v>1.92499999999998</v>
      </c>
      <c r="M299" s="226">
        <f ca="1" t="shared" si="114"/>
        <v>19.932</v>
      </c>
      <c r="N299" s="280">
        <f ca="1" t="shared" si="119"/>
        <v>0.0982068496570747</v>
      </c>
      <c r="O299" s="226">
        <f t="shared" si="123"/>
        <v>6.6</v>
      </c>
      <c r="P299" s="19">
        <f ca="1" t="shared" si="88"/>
        <v>21.2</v>
      </c>
      <c r="Q299" s="226">
        <f ca="1" t="shared" si="122"/>
        <v>3.02</v>
      </c>
      <c r="R299" s="269">
        <f ca="1" t="shared" si="95"/>
        <v>0.517134664925657</v>
      </c>
      <c r="S299" s="266">
        <f ca="1" t="shared" si="96"/>
        <v>48.5821564831618</v>
      </c>
      <c r="T299" s="226">
        <f ca="1">(1+OFFSET('玩法产出(新)'!$C$18,MATCH(X299,'玩法产出(新)'!$B$19:$B$25,0),1)*(1-V299)+OFFSET('玩法产出(新)'!$C$18,1+MATCH(X299,'玩法产出(新)'!$B$19:$B$25,0),1)*(V299))^AA299*(1+OFFSET('玩法产出(新)'!$C$18,MATCH(X299,'玩法产出(新)'!$B$19:$B$25,0),3)*(1-V299)+OFFSET('玩法产出(新)'!$C$18,1+MATCH(X299,'玩法产出(新)'!$B$19:$B$25,0),3)*(V299))^AB299*(1+OFFSET('玩法产出(新)'!$C$18,MATCH(X299,'玩法产出(新)'!$B$19:$B$25,0),4)*(1-V299)+OFFSET('玩法产出(新)'!$C$18,1+MATCH(X299,'玩法产出(新)'!$B$19:$B$25,0),4)*(V299))^AC299*(1+OFFSET('玩法产出(新)'!$C$18,MATCH(X299,'玩法产出(新)'!$B$19:$B$25,0),5)*(1+V299)+OFFSET('玩法产出(新)'!$C$18,1+MATCH(X299,'玩法产出(新)'!$B$19:$B$25,5),1)*(V299))^AD299*(1+OFFSET('玩法产出(新)'!$C$18,MATCH(X299,'玩法产出(新)'!$B$19:$B$25,0),6)*(1+V299)+OFFSET('玩法产出(新)'!$C$18,1+MATCH(X299,'玩法产出(新)'!$B$19:$B$25,0),6)*(V299))^AE299</f>
        <v>26.7625372983417</v>
      </c>
      <c r="U299" s="226">
        <f ca="1" t="shared" si="115"/>
        <v>0.142648851020198</v>
      </c>
      <c r="V299" s="226">
        <f ca="1">COUNTIF($X$124:$X299,X299)/(COUNTIF($X$124:$X$723,X299)+1)</f>
        <v>0.123711340206186</v>
      </c>
      <c r="W299" s="19">
        <v>30</v>
      </c>
      <c r="X299" s="19" t="s">
        <v>326</v>
      </c>
      <c r="Y299" s="19">
        <f t="shared" si="121"/>
        <v>18760</v>
      </c>
      <c r="Z299" s="19">
        <f ca="1" t="shared" si="97"/>
        <v>1.78434261168385</v>
      </c>
      <c r="AA299" s="282">
        <f ca="1" t="shared" si="98"/>
        <v>10.8175770833333</v>
      </c>
      <c r="AB299" s="282">
        <f ca="1" t="shared" si="99"/>
        <v>14.1947916666667</v>
      </c>
      <c r="AC299" s="282">
        <f ca="1" t="shared" si="100"/>
        <v>3.8001</v>
      </c>
      <c r="AD299" s="282">
        <f ca="1" t="shared" si="101"/>
        <v>0.950025</v>
      </c>
      <c r="AE299" s="282">
        <f ca="1" t="shared" si="102"/>
        <v>0.23750625</v>
      </c>
      <c r="AF299" s="19" t="str">
        <f t="shared" si="103"/>
        <v>粉1</v>
      </c>
      <c r="AG299" s="19">
        <f>IFERROR(_xlfn.XLOOKUP(C299+1,[2]基因升级!$E$141:$E$500,[2]基因升级!$D$141:$D$500)-1,AG298)</f>
        <v>85</v>
      </c>
      <c r="AH299" s="19">
        <v>7</v>
      </c>
      <c r="AI299" s="19">
        <f t="shared" si="104"/>
        <v>9.2039189417803</v>
      </c>
      <c r="AJ299" s="19">
        <f t="shared" si="116"/>
        <v>0</v>
      </c>
      <c r="AK299" s="269">
        <v>1.864</v>
      </c>
      <c r="AL299" s="287">
        <f t="shared" si="124"/>
        <v>8.67999999999999</v>
      </c>
      <c r="AM299" s="287">
        <f t="shared" si="125"/>
        <v>5.08</v>
      </c>
      <c r="AQ299" s="19">
        <f t="shared" si="105"/>
        <v>1.79908296061078</v>
      </c>
      <c r="AR299" s="19">
        <f t="shared" si="106"/>
        <v>1.41016389362271</v>
      </c>
      <c r="AS299" s="19">
        <f t="shared" si="107"/>
        <v>1</v>
      </c>
      <c r="AT299" s="19">
        <f t="shared" si="108"/>
        <v>1</v>
      </c>
      <c r="AU299" s="19">
        <f t="shared" si="109"/>
        <v>1</v>
      </c>
      <c r="AV299" s="232">
        <f t="shared" si="89"/>
        <v>0.0399999999999991</v>
      </c>
      <c r="AW299" s="232">
        <f t="shared" si="90"/>
        <v>0.04</v>
      </c>
      <c r="AX299" s="232">
        <f t="shared" si="91"/>
        <v>0</v>
      </c>
      <c r="AY299" s="232">
        <f t="shared" si="92"/>
        <v>0</v>
      </c>
      <c r="AZ299" s="232">
        <f t="shared" si="93"/>
        <v>0</v>
      </c>
    </row>
    <row r="300" spans="1:52">
      <c r="A300" s="269"/>
      <c r="C300" s="19">
        <v>177</v>
      </c>
      <c r="D300" s="86">
        <f ca="1" t="shared" si="117"/>
        <v>161.223881105258</v>
      </c>
      <c r="E300" s="251">
        <f ca="1" t="shared" si="94"/>
        <v>0.358426789668269</v>
      </c>
      <c r="F300" s="269">
        <f ca="1" t="shared" si="110"/>
        <v>304.987306854685</v>
      </c>
      <c r="G300" s="283">
        <f ca="1" t="shared" si="111"/>
        <v>109.315621285496</v>
      </c>
      <c r="H300" s="279">
        <f ca="1" t="shared" si="112"/>
        <v>0.215575808448492</v>
      </c>
      <c r="I300" s="269">
        <f ca="1">SUM($J$125:J300)/SUM($H$125:H300)</f>
        <v>0.601634127378334</v>
      </c>
      <c r="J300" s="284">
        <f t="shared" si="118"/>
        <v>0.118017193544929</v>
      </c>
      <c r="K300" s="19">
        <f t="shared" si="120"/>
        <v>18600</v>
      </c>
      <c r="L300" s="269">
        <f t="shared" si="113"/>
        <v>1.92999999999998</v>
      </c>
      <c r="M300" s="226">
        <f ca="1" t="shared" si="114"/>
        <v>20.064</v>
      </c>
      <c r="N300" s="280">
        <f ca="1" t="shared" si="119"/>
        <v>0.0975586149035479</v>
      </c>
      <c r="O300" s="226">
        <f t="shared" si="123"/>
        <v>6.6</v>
      </c>
      <c r="P300" s="19">
        <f ca="1" t="shared" si="88"/>
        <v>21.4</v>
      </c>
      <c r="Q300" s="226">
        <f ca="1" t="shared" si="122"/>
        <v>3.04</v>
      </c>
      <c r="R300" s="269">
        <f ca="1" t="shared" si="95"/>
        <v>0.518655247782719</v>
      </c>
      <c r="S300" s="266">
        <f ca="1" t="shared" si="96"/>
        <v>48.7250074643816</v>
      </c>
      <c r="T300" s="226">
        <f ca="1">(1+OFFSET('玩法产出(新)'!$C$18,MATCH(X300,'玩法产出(新)'!$B$19:$B$25,0),1)*(1-V300)+OFFSET('玩法产出(新)'!$C$18,1+MATCH(X300,'玩法产出(新)'!$B$19:$B$25,0),1)*(V300))^AA300*(1+OFFSET('玩法产出(新)'!$C$18,MATCH(X300,'玩法产出(新)'!$B$19:$B$25,0),3)*(1-V300)+OFFSET('玩法产出(新)'!$C$18,1+MATCH(X300,'玩法产出(新)'!$B$19:$B$25,0),3)*(V300))^AB300*(1+OFFSET('玩法产出(新)'!$C$18,MATCH(X300,'玩法产出(新)'!$B$19:$B$25,0),4)*(1-V300)+OFFSET('玩法产出(新)'!$C$18,1+MATCH(X300,'玩法产出(新)'!$B$19:$B$25,0),4)*(V300))^AC300*(1+OFFSET('玩法产出(新)'!$C$18,MATCH(X300,'玩法产出(新)'!$B$19:$B$25,0),5)*(1+V300)+OFFSET('玩法产出(新)'!$C$18,1+MATCH(X300,'玩法产出(新)'!$B$19:$B$25,5),1)*(V300))^AD300*(1+OFFSET('玩法产出(新)'!$C$18,MATCH(X300,'玩法产出(新)'!$B$19:$B$25,0),6)*(1+V300)+OFFSET('玩法产出(新)'!$C$18,1+MATCH(X300,'玩法产出(新)'!$B$19:$B$25,0),6)*(V300))^AE300</f>
        <v>27.0224540512064</v>
      </c>
      <c r="U300" s="226">
        <f ca="1" t="shared" si="115"/>
        <v>0.142850981219792</v>
      </c>
      <c r="V300" s="226">
        <f ca="1">COUNTIF($X$124:$X300,X300)/(COUNTIF($X$124:$X$723,X300)+1)</f>
        <v>0.125773195876289</v>
      </c>
      <c r="W300" s="19">
        <v>30</v>
      </c>
      <c r="X300" s="19" t="s">
        <v>326</v>
      </c>
      <c r="Y300" s="19">
        <f t="shared" si="121"/>
        <v>18860</v>
      </c>
      <c r="Z300" s="19">
        <f ca="1" t="shared" si="97"/>
        <v>1.76877105695876</v>
      </c>
      <c r="AA300" s="282">
        <f ca="1" t="shared" si="98"/>
        <v>10.717815625</v>
      </c>
      <c r="AB300" s="282">
        <f ca="1" t="shared" si="99"/>
        <v>14.2671875</v>
      </c>
      <c r="AC300" s="282">
        <f ca="1" t="shared" si="100"/>
        <v>3.82095</v>
      </c>
      <c r="AD300" s="282">
        <f ca="1" t="shared" si="101"/>
        <v>0.9552375</v>
      </c>
      <c r="AE300" s="282">
        <f ca="1" t="shared" si="102"/>
        <v>0.238809375</v>
      </c>
      <c r="AF300" s="19" t="str">
        <f t="shared" si="103"/>
        <v>粉1</v>
      </c>
      <c r="AG300" s="19">
        <f>IFERROR(_xlfn.XLOOKUP(C300+1,[2]基因升级!$E$141:$E$500,[2]基因升级!$D$141:$D$500)-1,AG299)</f>
        <v>86</v>
      </c>
      <c r="AH300" s="19">
        <v>7</v>
      </c>
      <c r="AI300" s="19">
        <f t="shared" si="104"/>
        <v>9.2039189417803</v>
      </c>
      <c r="AJ300" s="19">
        <f t="shared" si="116"/>
        <v>0</v>
      </c>
      <c r="AK300" s="269">
        <v>1.864</v>
      </c>
      <c r="AL300" s="287">
        <f t="shared" si="124"/>
        <v>8.71999999999998</v>
      </c>
      <c r="AM300" s="287">
        <f t="shared" si="125"/>
        <v>5.12</v>
      </c>
      <c r="AQ300" s="19">
        <f t="shared" si="105"/>
        <v>1.80395849594187</v>
      </c>
      <c r="AR300" s="19">
        <f t="shared" si="106"/>
        <v>1.41398545384895</v>
      </c>
      <c r="AS300" s="19">
        <f t="shared" si="107"/>
        <v>1</v>
      </c>
      <c r="AT300" s="19">
        <f t="shared" si="108"/>
        <v>1</v>
      </c>
      <c r="AU300" s="19">
        <f t="shared" si="109"/>
        <v>1</v>
      </c>
      <c r="AV300" s="232">
        <f t="shared" si="89"/>
        <v>0.0399999999999991</v>
      </c>
      <c r="AW300" s="232">
        <f t="shared" si="90"/>
        <v>0.04</v>
      </c>
      <c r="AX300" s="232">
        <f t="shared" si="91"/>
        <v>0</v>
      </c>
      <c r="AY300" s="232">
        <f t="shared" si="92"/>
        <v>0</v>
      </c>
      <c r="AZ300" s="232">
        <f t="shared" si="93"/>
        <v>0</v>
      </c>
    </row>
    <row r="301" spans="1:52">
      <c r="A301" s="269"/>
      <c r="C301" s="19">
        <v>178</v>
      </c>
      <c r="D301" s="86">
        <f ca="1" t="shared" si="117"/>
        <v>161.581343762766</v>
      </c>
      <c r="E301" s="251">
        <f ca="1" t="shared" si="94"/>
        <v>0.357462657507678</v>
      </c>
      <c r="F301" s="269">
        <f ca="1" t="shared" si="110"/>
        <v>306.409714796082</v>
      </c>
      <c r="G301" s="283">
        <f ca="1" t="shared" si="111"/>
        <v>109.530030937177</v>
      </c>
      <c r="H301" s="279">
        <f ca="1" t="shared" si="112"/>
        <v>0.214409651681251</v>
      </c>
      <c r="I301" s="269">
        <f ca="1">SUM($J$125:J301)/SUM($H$125:H301)</f>
        <v>0.60151853017031</v>
      </c>
      <c r="J301" s="284">
        <f t="shared" si="118"/>
        <v>0.117490769999833</v>
      </c>
      <c r="K301" s="19">
        <f t="shared" si="120"/>
        <v>18700</v>
      </c>
      <c r="L301" s="269">
        <f t="shared" si="113"/>
        <v>1.93499999999998</v>
      </c>
      <c r="M301" s="226">
        <f ca="1" t="shared" si="114"/>
        <v>20.196</v>
      </c>
      <c r="N301" s="280">
        <f ca="1" t="shared" si="119"/>
        <v>0.0969188816814324</v>
      </c>
      <c r="O301" s="226">
        <f t="shared" si="123"/>
        <v>6.6</v>
      </c>
      <c r="P301" s="19">
        <f ca="1" t="shared" si="88"/>
        <v>21.6</v>
      </c>
      <c r="Q301" s="226">
        <f ca="1" t="shared" si="122"/>
        <v>3.06</v>
      </c>
      <c r="R301" s="269">
        <f ca="1" t="shared" si="95"/>
        <v>0.520177981098608</v>
      </c>
      <c r="S301" s="266">
        <f ca="1" t="shared" si="96"/>
        <v>48.868060470208</v>
      </c>
      <c r="T301" s="226">
        <f ca="1">(1+OFFSET('玩法产出(新)'!$C$18,MATCH(X301,'玩法产出(新)'!$B$19:$B$25,0),1)*(1-V301)+OFFSET('玩法产出(新)'!$C$18,1+MATCH(X301,'玩法产出(新)'!$B$19:$B$25,0),1)*(V301))^AA301*(1+OFFSET('玩法产出(新)'!$C$18,MATCH(X301,'玩法产出(新)'!$B$19:$B$25,0),3)*(1-V301)+OFFSET('玩法产出(新)'!$C$18,1+MATCH(X301,'玩法产出(新)'!$B$19:$B$25,0),3)*(V301))^AB301*(1+OFFSET('玩法产出(新)'!$C$18,MATCH(X301,'玩法产出(新)'!$B$19:$B$25,0),4)*(1-V301)+OFFSET('玩法产出(新)'!$C$18,1+MATCH(X301,'玩法产出(新)'!$B$19:$B$25,0),4)*(V301))^AC301*(1+OFFSET('玩法产出(新)'!$C$18,MATCH(X301,'玩法产出(新)'!$B$19:$B$25,0),5)*(1+V301)+OFFSET('玩法产出(新)'!$C$18,1+MATCH(X301,'玩法产出(新)'!$B$19:$B$25,5),1)*(V301))^AD301*(1+OFFSET('玩法产出(新)'!$C$18,MATCH(X301,'玩法产出(新)'!$B$19:$B$25,0),6)*(1+V301)+OFFSET('玩法产出(新)'!$C$18,1+MATCH(X301,'玩法产出(新)'!$B$19:$B$25,0),6)*(V301))^AE301</f>
        <v>27.2852680576897</v>
      </c>
      <c r="U301" s="226">
        <f ca="1" t="shared" si="115"/>
        <v>0.143053005826412</v>
      </c>
      <c r="V301" s="226">
        <f ca="1">COUNTIF($X$124:$X301,X301)/(COUNTIF($X$124:$X$723,X301)+1)</f>
        <v>0.127835051546392</v>
      </c>
      <c r="W301" s="19">
        <v>30</v>
      </c>
      <c r="X301" s="19" t="s">
        <v>326</v>
      </c>
      <c r="Y301" s="19">
        <f t="shared" si="121"/>
        <v>18960</v>
      </c>
      <c r="Z301" s="19">
        <f ca="1" t="shared" si="97"/>
        <v>1.7531830467354</v>
      </c>
      <c r="AA301" s="282">
        <f ca="1" t="shared" si="98"/>
        <v>10.6180541666667</v>
      </c>
      <c r="AB301" s="282">
        <f ca="1" t="shared" si="99"/>
        <v>14.3395833333333</v>
      </c>
      <c r="AC301" s="282">
        <f ca="1" t="shared" si="100"/>
        <v>3.8418</v>
      </c>
      <c r="AD301" s="282">
        <f ca="1" t="shared" si="101"/>
        <v>0.96045</v>
      </c>
      <c r="AE301" s="282">
        <f ca="1" t="shared" si="102"/>
        <v>0.2401125</v>
      </c>
      <c r="AF301" s="19" t="str">
        <f t="shared" si="103"/>
        <v>粉1</v>
      </c>
      <c r="AG301" s="19">
        <f>IFERROR(_xlfn.XLOOKUP(C301+1,[2]基因升级!$E$141:$E$500,[2]基因升级!$D$141:$D$500)-1,AG300)</f>
        <v>86</v>
      </c>
      <c r="AH301" s="19">
        <v>7</v>
      </c>
      <c r="AI301" s="19">
        <f t="shared" si="104"/>
        <v>9.2039189417803</v>
      </c>
      <c r="AJ301" s="19">
        <f t="shared" si="116"/>
        <v>0</v>
      </c>
      <c r="AK301" s="269">
        <v>1.864</v>
      </c>
      <c r="AL301" s="287">
        <f t="shared" si="124"/>
        <v>8.75999999999998</v>
      </c>
      <c r="AM301" s="287">
        <f t="shared" si="125"/>
        <v>5.16</v>
      </c>
      <c r="AQ301" s="19">
        <f t="shared" si="105"/>
        <v>1.80884724402927</v>
      </c>
      <c r="AR301" s="19">
        <f t="shared" si="106"/>
        <v>1.41781737054697</v>
      </c>
      <c r="AS301" s="19">
        <f t="shared" si="107"/>
        <v>1</v>
      </c>
      <c r="AT301" s="19">
        <f t="shared" si="108"/>
        <v>1</v>
      </c>
      <c r="AU301" s="19">
        <f t="shared" si="109"/>
        <v>1</v>
      </c>
      <c r="AV301" s="232">
        <f t="shared" si="89"/>
        <v>0.0399999999999991</v>
      </c>
      <c r="AW301" s="232">
        <f t="shared" si="90"/>
        <v>0.04</v>
      </c>
      <c r="AX301" s="232">
        <f t="shared" si="91"/>
        <v>0</v>
      </c>
      <c r="AY301" s="232">
        <f t="shared" si="92"/>
        <v>0</v>
      </c>
      <c r="AZ301" s="232">
        <f t="shared" si="93"/>
        <v>0</v>
      </c>
    </row>
    <row r="302" spans="1:52">
      <c r="A302" s="269"/>
      <c r="C302" s="19">
        <v>179</v>
      </c>
      <c r="D302" s="86">
        <f ca="1" t="shared" si="117"/>
        <v>161.937855587135</v>
      </c>
      <c r="E302" s="251">
        <f ca="1" t="shared" si="94"/>
        <v>0.356511824369185</v>
      </c>
      <c r="F302" s="269">
        <f ca="1" t="shared" si="110"/>
        <v>307.825099576268</v>
      </c>
      <c r="G302" s="283">
        <f ca="1" t="shared" si="111"/>
        <v>109.743287836561</v>
      </c>
      <c r="H302" s="279">
        <f ca="1" t="shared" si="112"/>
        <v>0.213256899384163</v>
      </c>
      <c r="I302" s="269">
        <f ca="1">SUM($J$125:J302)/SUM($H$125:H302)</f>
        <v>0.601405153507459</v>
      </c>
      <c r="J302" s="284">
        <f t="shared" si="118"/>
        <v>0.116969415549541</v>
      </c>
      <c r="K302" s="19">
        <f t="shared" si="120"/>
        <v>18800</v>
      </c>
      <c r="L302" s="269">
        <f t="shared" si="113"/>
        <v>1.93999999999998</v>
      </c>
      <c r="M302" s="226">
        <f ca="1" t="shared" si="114"/>
        <v>20.328</v>
      </c>
      <c r="N302" s="280">
        <f ca="1" t="shared" si="119"/>
        <v>0.0962874838346082</v>
      </c>
      <c r="O302" s="226">
        <f t="shared" si="123"/>
        <v>6.6</v>
      </c>
      <c r="P302" s="19">
        <f ca="1" t="shared" si="88"/>
        <v>21.8</v>
      </c>
      <c r="Q302" s="226">
        <f ca="1" t="shared" si="122"/>
        <v>3.08</v>
      </c>
      <c r="R302" s="269">
        <f ca="1" t="shared" si="95"/>
        <v>0.521702863750879</v>
      </c>
      <c r="S302" s="266">
        <f ca="1" t="shared" si="96"/>
        <v>49.011315395193</v>
      </c>
      <c r="T302" s="226">
        <f ca="1">(1+OFFSET('玩法产出(新)'!$C$18,MATCH(X302,'玩法产出(新)'!$B$19:$B$25,0),1)*(1-V302)+OFFSET('玩法产出(新)'!$C$18,1+MATCH(X302,'玩法产出(新)'!$B$19:$B$25,0),1)*(V302))^AA302*(1+OFFSET('玩法产出(新)'!$C$18,MATCH(X302,'玩法产出(新)'!$B$19:$B$25,0),3)*(1-V302)+OFFSET('玩法产出(新)'!$C$18,1+MATCH(X302,'玩法产出(新)'!$B$19:$B$25,0),3)*(V302))^AB302*(1+OFFSET('玩法产出(新)'!$C$18,MATCH(X302,'玩法产出(新)'!$B$19:$B$25,0),4)*(1-V302)+OFFSET('玩法产出(新)'!$C$18,1+MATCH(X302,'玩法产出(新)'!$B$19:$B$25,0),4)*(V302))^AC302*(1+OFFSET('玩法产出(新)'!$C$18,MATCH(X302,'玩法产出(新)'!$B$19:$B$25,0),5)*(1+V302)+OFFSET('玩法产出(新)'!$C$18,1+MATCH(X302,'玩法产出(新)'!$B$19:$B$25,5),1)*(V302))^AD302*(1+OFFSET('玩法产出(新)'!$C$18,MATCH(X302,'玩法产出(新)'!$B$19:$B$25,0),6)*(1+V302)+OFFSET('玩法产出(新)'!$C$18,1+MATCH(X302,'玩法产出(新)'!$B$19:$B$25,0),6)*(V302))^AE302</f>
        <v>27.5510145188794</v>
      </c>
      <c r="U302" s="226">
        <f ca="1" t="shared" si="115"/>
        <v>0.143254924985036</v>
      </c>
      <c r="V302" s="226">
        <f ca="1">COUNTIF($X$124:$X302,X302)/(COUNTIF($X$124:$X$723,X302)+1)</f>
        <v>0.129896907216495</v>
      </c>
      <c r="W302" s="19">
        <v>30</v>
      </c>
      <c r="X302" s="19" t="s">
        <v>326</v>
      </c>
      <c r="Y302" s="19">
        <f t="shared" si="121"/>
        <v>19060</v>
      </c>
      <c r="Z302" s="19">
        <f ca="1" t="shared" si="97"/>
        <v>1.73757858101375</v>
      </c>
      <c r="AA302" s="282">
        <f ca="1" t="shared" si="98"/>
        <v>10.5182927083333</v>
      </c>
      <c r="AB302" s="282">
        <f ca="1" t="shared" si="99"/>
        <v>14.4119791666667</v>
      </c>
      <c r="AC302" s="282">
        <f ca="1" t="shared" si="100"/>
        <v>3.86265</v>
      </c>
      <c r="AD302" s="282">
        <f ca="1" t="shared" si="101"/>
        <v>0.9656625</v>
      </c>
      <c r="AE302" s="282">
        <f ca="1" t="shared" si="102"/>
        <v>0.241415625</v>
      </c>
      <c r="AF302" s="19" t="str">
        <f t="shared" si="103"/>
        <v>粉1</v>
      </c>
      <c r="AG302" s="19">
        <f>IFERROR(_xlfn.XLOOKUP(C302+1,[2]基因升级!$E$141:$E$500,[2]基因升级!$D$141:$D$500)-1,AG301)</f>
        <v>86</v>
      </c>
      <c r="AH302" s="19">
        <v>7</v>
      </c>
      <c r="AI302" s="19">
        <f t="shared" si="104"/>
        <v>9.2039189417803</v>
      </c>
      <c r="AJ302" s="19">
        <f t="shared" si="116"/>
        <v>0</v>
      </c>
      <c r="AK302" s="269">
        <v>1.864</v>
      </c>
      <c r="AL302" s="287">
        <f t="shared" si="124"/>
        <v>8.79999999999998</v>
      </c>
      <c r="AM302" s="287">
        <f t="shared" si="125"/>
        <v>5.2</v>
      </c>
      <c r="AQ302" s="19">
        <f t="shared" si="105"/>
        <v>1.81374924067972</v>
      </c>
      <c r="AR302" s="19">
        <f t="shared" si="106"/>
        <v>1.42165967178291</v>
      </c>
      <c r="AS302" s="19">
        <f t="shared" si="107"/>
        <v>1</v>
      </c>
      <c r="AT302" s="19">
        <f t="shared" si="108"/>
        <v>1</v>
      </c>
      <c r="AU302" s="19">
        <f t="shared" si="109"/>
        <v>1</v>
      </c>
      <c r="AV302" s="232">
        <f t="shared" si="89"/>
        <v>0.0399999999999991</v>
      </c>
      <c r="AW302" s="232">
        <f t="shared" si="90"/>
        <v>0.04</v>
      </c>
      <c r="AX302" s="232">
        <f t="shared" si="91"/>
        <v>0</v>
      </c>
      <c r="AY302" s="232">
        <f t="shared" si="92"/>
        <v>0</v>
      </c>
      <c r="AZ302" s="232">
        <f t="shared" si="93"/>
        <v>0</v>
      </c>
    </row>
    <row r="303" s="232" customFormat="1" spans="1:52">
      <c r="A303" s="269"/>
      <c r="C303" s="232">
        <v>180</v>
      </c>
      <c r="D303" s="86">
        <f ca="1" t="shared" si="117"/>
        <v>165.30263777199</v>
      </c>
      <c r="E303" s="251">
        <f ca="1" t="shared" si="94"/>
        <v>3.36478218485551</v>
      </c>
      <c r="F303" s="269">
        <f ca="1" t="shared" si="110"/>
        <v>33.5726377151595</v>
      </c>
      <c r="G303" s="286">
        <f ca="1" t="shared" si="111"/>
        <v>112.964613282577</v>
      </c>
      <c r="H303" s="287">
        <f ca="1" t="shared" si="112"/>
        <v>3.2213254460156</v>
      </c>
      <c r="I303" s="285">
        <f ca="1">SUM($J$125:J303)/SUM($H$125:H303)</f>
        <v>0.583720741236145</v>
      </c>
      <c r="J303" s="288">
        <f t="shared" si="118"/>
        <v>0.116453053712945</v>
      </c>
      <c r="K303" s="232">
        <f t="shared" si="120"/>
        <v>18900</v>
      </c>
      <c r="L303" s="285">
        <f t="shared" si="113"/>
        <v>1.94499999999998</v>
      </c>
      <c r="M303" s="289">
        <f ca="1" t="shared" si="114"/>
        <v>25.08</v>
      </c>
      <c r="N303" s="290">
        <f ca="1" t="shared" si="119"/>
        <v>3.10487239230266</v>
      </c>
      <c r="O303" s="289">
        <f t="shared" si="123"/>
        <v>13.2</v>
      </c>
      <c r="P303" s="232">
        <f ca="1" t="shared" si="88"/>
        <v>10</v>
      </c>
      <c r="Q303" s="289">
        <f ca="1" t="shared" si="122"/>
        <v>1.9</v>
      </c>
      <c r="R303" s="285">
        <f ca="1" t="shared" si="95"/>
        <v>0.523229894618622</v>
      </c>
      <c r="S303" s="292">
        <f ca="1" t="shared" si="96"/>
        <v>49.1547721340329</v>
      </c>
      <c r="T303" s="226">
        <f ca="1">(1+OFFSET('玩法产出(新)'!$C$18,MATCH(X303,'玩法产出(新)'!$B$19:$B$25,0),1)*(1-V303)+OFFSET('玩法产出(新)'!$C$18,1+MATCH(X303,'玩法产出(新)'!$B$19:$B$25,0),1)*(V303))^AA303*(1+OFFSET('玩法产出(新)'!$C$18,MATCH(X303,'玩法产出(新)'!$B$19:$B$25,0),3)*(1-V303)+OFFSET('玩法产出(新)'!$C$18,1+MATCH(X303,'玩法产出(新)'!$B$19:$B$25,0),3)*(V303))^AB303*(1+OFFSET('玩法产出(新)'!$C$18,MATCH(X303,'玩法产出(新)'!$B$19:$B$25,0),4)*(1-V303)+OFFSET('玩法产出(新)'!$C$18,1+MATCH(X303,'玩法产出(新)'!$B$19:$B$25,0),4)*(V303))^AC303*(1+OFFSET('玩法产出(新)'!$C$18,MATCH(X303,'玩法产出(新)'!$B$19:$B$25,0),5)*(1+V303)+OFFSET('玩法产出(新)'!$C$18,1+MATCH(X303,'玩法产出(新)'!$B$19:$B$25,5),1)*(V303))^AD303*(1+OFFSET('玩法产出(新)'!$C$18,MATCH(X303,'玩法产出(新)'!$B$19:$B$25,0),6)*(1+V303)+OFFSET('玩法产出(新)'!$C$18,1+MATCH(X303,'玩法产出(新)'!$B$19:$B$25,0),6)*(V303))^AE303</f>
        <v>27.8197290938231</v>
      </c>
      <c r="U303" s="226">
        <f ca="1" t="shared" si="115"/>
        <v>0.14345673883991</v>
      </c>
      <c r="V303" s="226">
        <f ca="1">COUNTIF($X$124:$X303,X303)/(COUNTIF($X$124:$X$723,X303)+1)</f>
        <v>0.131958762886598</v>
      </c>
      <c r="W303" s="232">
        <v>30</v>
      </c>
      <c r="X303" s="19" t="s">
        <v>326</v>
      </c>
      <c r="Y303" s="232">
        <f t="shared" si="121"/>
        <v>19160</v>
      </c>
      <c r="Z303" s="19">
        <f ca="1" t="shared" si="97"/>
        <v>1.72195765979381</v>
      </c>
      <c r="AA303" s="293">
        <f ca="1" t="shared" si="98"/>
        <v>10.41853125</v>
      </c>
      <c r="AB303" s="293">
        <f ca="1" t="shared" si="99"/>
        <v>14.484375</v>
      </c>
      <c r="AC303" s="293">
        <f ca="1" t="shared" si="100"/>
        <v>3.8835</v>
      </c>
      <c r="AD303" s="293">
        <f ca="1" t="shared" si="101"/>
        <v>0.970875</v>
      </c>
      <c r="AE303" s="293">
        <f ca="1" t="shared" si="102"/>
        <v>0.24271875</v>
      </c>
      <c r="AF303" s="232" t="str">
        <f t="shared" si="103"/>
        <v>粉2</v>
      </c>
      <c r="AG303" s="232">
        <f>IFERROR(_xlfn.XLOOKUP(C303+1,[2]基因升级!$E$141:$E$500,[2]基因升级!$D$141:$D$500)-1,AG302)</f>
        <v>86</v>
      </c>
      <c r="AH303" s="232">
        <v>7</v>
      </c>
      <c r="AI303" s="232">
        <f t="shared" si="104"/>
        <v>9.2039189417803</v>
      </c>
      <c r="AJ303" s="19">
        <f t="shared" si="116"/>
        <v>0</v>
      </c>
      <c r="AK303" s="285">
        <v>1.864</v>
      </c>
      <c r="AL303" s="287">
        <f t="shared" si="124"/>
        <v>8.83999999999998</v>
      </c>
      <c r="AM303" s="287">
        <f t="shared" si="125"/>
        <v>5.24</v>
      </c>
      <c r="AQ303" s="19">
        <f t="shared" si="105"/>
        <v>1.81866452179697</v>
      </c>
      <c r="AR303" s="19">
        <f t="shared" si="106"/>
        <v>1.42551238569901</v>
      </c>
      <c r="AS303" s="19">
        <f t="shared" si="107"/>
        <v>1</v>
      </c>
      <c r="AT303" s="19">
        <f t="shared" si="108"/>
        <v>1</v>
      </c>
      <c r="AU303" s="19">
        <f t="shared" si="109"/>
        <v>1</v>
      </c>
      <c r="AV303" s="232">
        <f t="shared" si="89"/>
        <v>0.0399999999999991</v>
      </c>
      <c r="AW303" s="232">
        <f t="shared" si="90"/>
        <v>0.04</v>
      </c>
      <c r="AX303" s="232">
        <f t="shared" si="91"/>
        <v>0</v>
      </c>
      <c r="AY303" s="232">
        <f t="shared" si="92"/>
        <v>0</v>
      </c>
      <c r="AZ303" s="232">
        <f t="shared" si="93"/>
        <v>0</v>
      </c>
    </row>
    <row r="304" spans="1:52">
      <c r="A304" s="269"/>
      <c r="C304" s="19">
        <v>181</v>
      </c>
      <c r="D304" s="86">
        <f ca="1" t="shared" si="117"/>
        <v>165.717004442148</v>
      </c>
      <c r="E304" s="251">
        <f ca="1" t="shared" si="94"/>
        <v>0.414366670157619</v>
      </c>
      <c r="F304" s="269">
        <f ca="1" t="shared" si="110"/>
        <v>273.273237594439</v>
      </c>
      <c r="G304" s="283">
        <f ca="1" t="shared" si="111"/>
        <v>113.235321505199</v>
      </c>
      <c r="H304" s="279">
        <f ca="1" t="shared" si="112"/>
        <v>0.270708222622474</v>
      </c>
      <c r="I304" s="269">
        <f ca="1">SUM($J$125:J304)/SUM($H$125:H304)</f>
        <v>0.583313163730946</v>
      </c>
      <c r="J304" s="284">
        <f t="shared" si="118"/>
        <v>0.11594160958041</v>
      </c>
      <c r="K304" s="19">
        <f t="shared" si="120"/>
        <v>19000</v>
      </c>
      <c r="L304" s="269">
        <f t="shared" si="113"/>
        <v>1.94999999999998</v>
      </c>
      <c r="M304" s="226">
        <f ca="1" t="shared" si="114"/>
        <v>25.344</v>
      </c>
      <c r="N304" s="280">
        <f ca="1" t="shared" si="119"/>
        <v>0.154766613042057</v>
      </c>
      <c r="O304" s="226">
        <f t="shared" si="123"/>
        <v>13.2</v>
      </c>
      <c r="P304" s="19">
        <f ca="1" t="shared" si="88"/>
        <v>10.2</v>
      </c>
      <c r="Q304" s="226">
        <f ca="1" t="shared" si="122"/>
        <v>1.92</v>
      </c>
      <c r="R304" s="269">
        <f ca="1" t="shared" si="95"/>
        <v>0.524759072582461</v>
      </c>
      <c r="S304" s="266">
        <f ca="1" t="shared" si="96"/>
        <v>49.2984305815681</v>
      </c>
      <c r="T304" s="226">
        <f ca="1">(1+OFFSET('玩法产出(新)'!$C$18,MATCH(X304,'玩法产出(新)'!$B$19:$B$25,0),1)*(1-V304)+OFFSET('玩法产出(新)'!$C$18,1+MATCH(X304,'玩法产出(新)'!$B$19:$B$25,0),1)*(V304))^AA304*(1+OFFSET('玩法产出(新)'!$C$18,MATCH(X304,'玩法产出(新)'!$B$19:$B$25,0),3)*(1-V304)+OFFSET('玩法产出(新)'!$C$18,1+MATCH(X304,'玩法产出(新)'!$B$19:$B$25,0),3)*(V304))^AB304*(1+OFFSET('玩法产出(新)'!$C$18,MATCH(X304,'玩法产出(新)'!$B$19:$B$25,0),4)*(1-V304)+OFFSET('玩法产出(新)'!$C$18,1+MATCH(X304,'玩法产出(新)'!$B$19:$B$25,0),4)*(V304))^AC304*(1+OFFSET('玩法产出(新)'!$C$18,MATCH(X304,'玩法产出(新)'!$B$19:$B$25,0),5)*(1+V304)+OFFSET('玩法产出(新)'!$C$18,1+MATCH(X304,'玩法产出(新)'!$B$19:$B$25,5),1)*(V304))^AD304*(1+OFFSET('玩法产出(新)'!$C$18,MATCH(X304,'玩法产出(新)'!$B$19:$B$25,0),6)*(1+V304)+OFFSET('玩法产出(新)'!$C$18,1+MATCH(X304,'玩法产出(新)'!$B$19:$B$25,0),6)*(V304))^AE304</f>
        <v>28.0914479058291</v>
      </c>
      <c r="U304" s="226">
        <f ca="1" t="shared" si="115"/>
        <v>0.143658447535152</v>
      </c>
      <c r="V304" s="226">
        <f ca="1">COUNTIF($X$124:$X304,X304)/(COUNTIF($X$124:$X$723,X304)+1)</f>
        <v>0.134020618556701</v>
      </c>
      <c r="W304" s="19">
        <v>30</v>
      </c>
      <c r="X304" s="19" t="s">
        <v>326</v>
      </c>
      <c r="Y304" s="19">
        <f t="shared" si="121"/>
        <v>19260</v>
      </c>
      <c r="Z304" s="19">
        <f ca="1" t="shared" si="97"/>
        <v>1.7063202830756</v>
      </c>
      <c r="AA304" s="282">
        <f ca="1" t="shared" si="98"/>
        <v>10.3187697916667</v>
      </c>
      <c r="AB304" s="282">
        <f ca="1" t="shared" si="99"/>
        <v>14.5567708333333</v>
      </c>
      <c r="AC304" s="282">
        <f ca="1" t="shared" si="100"/>
        <v>3.90435</v>
      </c>
      <c r="AD304" s="282">
        <f ca="1" t="shared" si="101"/>
        <v>0.9760875</v>
      </c>
      <c r="AE304" s="282">
        <f ca="1" t="shared" si="102"/>
        <v>0.244021875</v>
      </c>
      <c r="AF304" s="19" t="str">
        <f t="shared" si="103"/>
        <v>粉2</v>
      </c>
      <c r="AG304" s="19">
        <f>IFERROR(_xlfn.XLOOKUP(C304+1,[2]基因升级!$E$141:$E$500,[2]基因升级!$D$141:$D$500)-1,AG303)</f>
        <v>86</v>
      </c>
      <c r="AH304" s="19">
        <v>7</v>
      </c>
      <c r="AI304" s="19">
        <f t="shared" si="104"/>
        <v>9.2039189417803</v>
      </c>
      <c r="AJ304" s="19">
        <f t="shared" si="116"/>
        <v>0</v>
      </c>
      <c r="AK304" s="269">
        <v>1.864</v>
      </c>
      <c r="AL304" s="287">
        <f t="shared" si="124"/>
        <v>8.87999999999998</v>
      </c>
      <c r="AM304" s="287">
        <f t="shared" si="125"/>
        <v>5.28</v>
      </c>
      <c r="AN304" s="293"/>
      <c r="AQ304" s="19">
        <f t="shared" si="105"/>
        <v>1.82359312338208</v>
      </c>
      <c r="AR304" s="19">
        <f t="shared" si="106"/>
        <v>1.42937554051373</v>
      </c>
      <c r="AS304" s="19">
        <f t="shared" si="107"/>
        <v>1</v>
      </c>
      <c r="AT304" s="19">
        <f t="shared" si="108"/>
        <v>1</v>
      </c>
      <c r="AU304" s="19">
        <f t="shared" si="109"/>
        <v>1</v>
      </c>
      <c r="AV304" s="232">
        <f t="shared" si="89"/>
        <v>0.0399999999999991</v>
      </c>
      <c r="AW304" s="232">
        <f t="shared" si="90"/>
        <v>0.04</v>
      </c>
      <c r="AX304" s="232">
        <f t="shared" si="91"/>
        <v>0</v>
      </c>
      <c r="AY304" s="232">
        <f t="shared" si="92"/>
        <v>0</v>
      </c>
      <c r="AZ304" s="232">
        <f t="shared" si="93"/>
        <v>0</v>
      </c>
    </row>
    <row r="305" spans="1:52">
      <c r="A305" s="269"/>
      <c r="C305" s="19">
        <v>182</v>
      </c>
      <c r="D305" s="86">
        <f ca="1" t="shared" si="117"/>
        <v>166.129462288224</v>
      </c>
      <c r="E305" s="251">
        <f ca="1" t="shared" si="94"/>
        <v>0.412457846075936</v>
      </c>
      <c r="F305" s="269">
        <f ca="1" t="shared" si="110"/>
        <v>275.189138429346</v>
      </c>
      <c r="G305" s="283">
        <f ca="1" t="shared" si="111"/>
        <v>113.503919300061</v>
      </c>
      <c r="H305" s="279">
        <f ca="1" t="shared" si="112"/>
        <v>0.268597794861321</v>
      </c>
      <c r="I305" s="269">
        <f ca="1">SUM($J$125:J305)/SUM($H$125:H305)</f>
        <v>0.582914709063747</v>
      </c>
      <c r="J305" s="284">
        <f t="shared" si="118"/>
        <v>0.115435009773222</v>
      </c>
      <c r="K305" s="19">
        <f t="shared" si="120"/>
        <v>19100</v>
      </c>
      <c r="L305" s="269">
        <f t="shared" si="113"/>
        <v>1.95499999999998</v>
      </c>
      <c r="M305" s="226">
        <f ca="1" t="shared" si="114"/>
        <v>25.608</v>
      </c>
      <c r="N305" s="280">
        <f ca="1" t="shared" si="119"/>
        <v>0.153162785088099</v>
      </c>
      <c r="O305" s="226">
        <f t="shared" si="123"/>
        <v>13.2</v>
      </c>
      <c r="P305" s="19">
        <f ca="1" t="shared" si="88"/>
        <v>10.4</v>
      </c>
      <c r="Q305" s="226">
        <f ca="1" t="shared" si="122"/>
        <v>1.94</v>
      </c>
      <c r="R305" s="269">
        <f ca="1" t="shared" si="95"/>
        <v>0.526290396524552</v>
      </c>
      <c r="S305" s="266">
        <f ca="1" t="shared" si="96"/>
        <v>49.4422906327827</v>
      </c>
      <c r="T305" s="226">
        <f ca="1">(1+OFFSET('玩法产出(新)'!$C$18,MATCH(X305,'玩法产出(新)'!$B$19:$B$25,0),1)*(1-V305)+OFFSET('玩法产出(新)'!$C$18,1+MATCH(X305,'玩法产出(新)'!$B$19:$B$25,0),1)*(V305))^AA305*(1+OFFSET('玩法产出(新)'!$C$18,MATCH(X305,'玩法产出(新)'!$B$19:$B$25,0),3)*(1-V305)+OFFSET('玩法产出(新)'!$C$18,1+MATCH(X305,'玩法产出(新)'!$B$19:$B$25,0),3)*(V305))^AB305*(1+OFFSET('玩法产出(新)'!$C$18,MATCH(X305,'玩法产出(新)'!$B$19:$B$25,0),4)*(1-V305)+OFFSET('玩法产出(新)'!$C$18,1+MATCH(X305,'玩法产出(新)'!$B$19:$B$25,0),4)*(V305))^AC305*(1+OFFSET('玩法产出(新)'!$C$18,MATCH(X305,'玩法产出(新)'!$B$19:$B$25,0),5)*(1+V305)+OFFSET('玩法产出(新)'!$C$18,1+MATCH(X305,'玩法产出(新)'!$B$19:$B$25,5),1)*(V305))^AD305*(1+OFFSET('玩法产出(新)'!$C$18,MATCH(X305,'玩法产出(新)'!$B$19:$B$25,0),6)*(1+V305)+OFFSET('玩法产出(新)'!$C$18,1+MATCH(X305,'玩法产出(新)'!$B$19:$B$25,0),6)*(V305))^AE305</f>
        <v>28.366207548859</v>
      </c>
      <c r="U305" s="226">
        <f ca="1" t="shared" si="115"/>
        <v>0.143860051214614</v>
      </c>
      <c r="V305" s="226">
        <f ca="1">COUNTIF($X$124:$X305,X305)/(COUNTIF($X$124:$X$723,X305)+1)</f>
        <v>0.136082474226804</v>
      </c>
      <c r="W305" s="19">
        <v>30</v>
      </c>
      <c r="X305" s="19" t="s">
        <v>326</v>
      </c>
      <c r="Y305" s="19">
        <f t="shared" si="121"/>
        <v>19360</v>
      </c>
      <c r="Z305" s="19">
        <f ca="1" t="shared" si="97"/>
        <v>1.69066645085911</v>
      </c>
      <c r="AA305" s="282">
        <f ca="1" t="shared" si="98"/>
        <v>10.2190083333333</v>
      </c>
      <c r="AB305" s="282">
        <f ca="1" t="shared" si="99"/>
        <v>14.6291666666667</v>
      </c>
      <c r="AC305" s="282">
        <f ca="1" t="shared" si="100"/>
        <v>3.9252</v>
      </c>
      <c r="AD305" s="282">
        <f ca="1" t="shared" si="101"/>
        <v>0.9813</v>
      </c>
      <c r="AE305" s="282">
        <f ca="1" t="shared" si="102"/>
        <v>0.245325</v>
      </c>
      <c r="AF305" s="19" t="str">
        <f t="shared" si="103"/>
        <v>粉2</v>
      </c>
      <c r="AG305" s="19">
        <f>IFERROR(_xlfn.XLOOKUP(C305+1,[2]基因升级!$E$141:$E$500,[2]基因升级!$D$141:$D$500)-1,AG304)</f>
        <v>86</v>
      </c>
      <c r="AH305" s="19">
        <v>7</v>
      </c>
      <c r="AI305" s="19">
        <f t="shared" si="104"/>
        <v>9.2039189417803</v>
      </c>
      <c r="AJ305" s="19">
        <f t="shared" si="116"/>
        <v>0</v>
      </c>
      <c r="AK305" s="269">
        <v>1.864</v>
      </c>
      <c r="AL305" s="287">
        <f t="shared" si="124"/>
        <v>8.91999999999998</v>
      </c>
      <c r="AM305" s="287">
        <f t="shared" si="125"/>
        <v>5.32</v>
      </c>
      <c r="AN305" s="293"/>
      <c r="AQ305" s="19">
        <f t="shared" si="105"/>
        <v>1.82853508153367</v>
      </c>
      <c r="AR305" s="19">
        <f t="shared" si="106"/>
        <v>1.43324916452204</v>
      </c>
      <c r="AS305" s="19">
        <f t="shared" si="107"/>
        <v>1</v>
      </c>
      <c r="AT305" s="19">
        <f t="shared" si="108"/>
        <v>1</v>
      </c>
      <c r="AU305" s="19">
        <f t="shared" si="109"/>
        <v>1</v>
      </c>
      <c r="AV305" s="232">
        <f t="shared" si="89"/>
        <v>0.0399999999999991</v>
      </c>
      <c r="AW305" s="232">
        <f t="shared" si="90"/>
        <v>0.04</v>
      </c>
      <c r="AX305" s="232">
        <f t="shared" si="91"/>
        <v>0</v>
      </c>
      <c r="AY305" s="232">
        <f t="shared" si="92"/>
        <v>0</v>
      </c>
      <c r="AZ305" s="232">
        <f t="shared" si="93"/>
        <v>0</v>
      </c>
    </row>
    <row r="306" spans="1:52">
      <c r="A306" s="269"/>
      <c r="C306" s="19">
        <v>183</v>
      </c>
      <c r="D306" s="86">
        <f ca="1" t="shared" si="117"/>
        <v>166.540048877693</v>
      </c>
      <c r="E306" s="251">
        <f ca="1" t="shared" si="94"/>
        <v>0.410586589468867</v>
      </c>
      <c r="F306" s="269">
        <f ca="1" t="shared" si="110"/>
        <v>277.092450795047</v>
      </c>
      <c r="G306" s="283">
        <f ca="1" t="shared" si="111"/>
        <v>113.770444339508</v>
      </c>
      <c r="H306" s="279">
        <f ca="1" t="shared" si="112"/>
        <v>0.266525039447345</v>
      </c>
      <c r="I306" s="269">
        <f ca="1">SUM($J$125:J306)/SUM($H$125:H306)</f>
        <v>0.582525116596633</v>
      </c>
      <c r="J306" s="284">
        <f t="shared" si="118"/>
        <v>0.114933182403988</v>
      </c>
      <c r="K306" s="19">
        <f t="shared" si="120"/>
        <v>19200</v>
      </c>
      <c r="L306" s="269">
        <f t="shared" si="113"/>
        <v>1.95999999999998</v>
      </c>
      <c r="M306" s="226">
        <f ca="1" t="shared" si="114"/>
        <v>25.872</v>
      </c>
      <c r="N306" s="280">
        <f ca="1" t="shared" si="119"/>
        <v>0.151591857043357</v>
      </c>
      <c r="O306" s="226">
        <f t="shared" si="123"/>
        <v>13.2</v>
      </c>
      <c r="P306" s="19">
        <f ca="1" t="shared" si="88"/>
        <v>10.6</v>
      </c>
      <c r="Q306" s="226">
        <f ca="1" t="shared" si="122"/>
        <v>1.96</v>
      </c>
      <c r="R306" s="269">
        <f ca="1" t="shared" si="95"/>
        <v>0.527823865328574</v>
      </c>
      <c r="S306" s="266">
        <f ca="1" t="shared" si="96"/>
        <v>49.5863521828042</v>
      </c>
      <c r="T306" s="226">
        <f ca="1">(1+OFFSET('玩法产出(新)'!$C$18,MATCH(X306,'玩法产出(新)'!$B$19:$B$25,0),1)*(1-V306)+OFFSET('玩法产出(新)'!$C$18,1+MATCH(X306,'玩法产出(新)'!$B$19:$B$25,0),1)*(V306))^AA306*(1+OFFSET('玩法产出(新)'!$C$18,MATCH(X306,'玩法产出(新)'!$B$19:$B$25,0),3)*(1-V306)+OFFSET('玩法产出(新)'!$C$18,1+MATCH(X306,'玩法产出(新)'!$B$19:$B$25,0),3)*(V306))^AB306*(1+OFFSET('玩法产出(新)'!$C$18,MATCH(X306,'玩法产出(新)'!$B$19:$B$25,0),4)*(1-V306)+OFFSET('玩法产出(新)'!$C$18,1+MATCH(X306,'玩法产出(新)'!$B$19:$B$25,0),4)*(V306))^AC306*(1+OFFSET('玩法产出(新)'!$C$18,MATCH(X306,'玩法产出(新)'!$B$19:$B$25,0),5)*(1+V306)+OFFSET('玩法产出(新)'!$C$18,1+MATCH(X306,'玩法产出(新)'!$B$19:$B$25,5),1)*(V306))^AD306*(1+OFFSET('玩法产出(新)'!$C$18,MATCH(X306,'玩法产出(新)'!$B$19:$B$25,0),6)*(1+V306)+OFFSET('玩法产出(新)'!$C$18,1+MATCH(X306,'玩法产出(新)'!$B$19:$B$25,0),6)*(V306))^AE306</f>
        <v>28.6440450940108</v>
      </c>
      <c r="U306" s="226">
        <f ca="1" t="shared" si="115"/>
        <v>0.144061550021522</v>
      </c>
      <c r="V306" s="226">
        <f ca="1">COUNTIF($X$124:$X306,X306)/(COUNTIF($X$124:$X$723,X306)+1)</f>
        <v>0.138144329896907</v>
      </c>
      <c r="W306" s="19">
        <v>30</v>
      </c>
      <c r="X306" s="19" t="s">
        <v>326</v>
      </c>
      <c r="Y306" s="19">
        <f t="shared" si="121"/>
        <v>19460</v>
      </c>
      <c r="Z306" s="19">
        <f ca="1" t="shared" si="97"/>
        <v>1.67499616314433</v>
      </c>
      <c r="AA306" s="282">
        <f ca="1" t="shared" si="98"/>
        <v>10.119246875</v>
      </c>
      <c r="AB306" s="282">
        <f ca="1" t="shared" si="99"/>
        <v>14.7015625</v>
      </c>
      <c r="AC306" s="282">
        <f ca="1" t="shared" si="100"/>
        <v>3.94605</v>
      </c>
      <c r="AD306" s="282">
        <f ca="1" t="shared" si="101"/>
        <v>0.9865125</v>
      </c>
      <c r="AE306" s="282">
        <f ca="1" t="shared" si="102"/>
        <v>0.246628125</v>
      </c>
      <c r="AF306" s="19" t="str">
        <f t="shared" si="103"/>
        <v>粉2</v>
      </c>
      <c r="AG306" s="19">
        <f>IFERROR(_xlfn.XLOOKUP(C306+1,[2]基因升级!$E$141:$E$500,[2]基因升级!$D$141:$D$500)-1,AG305)</f>
        <v>86</v>
      </c>
      <c r="AH306" s="19">
        <v>7</v>
      </c>
      <c r="AI306" s="19">
        <f t="shared" si="104"/>
        <v>9.2039189417803</v>
      </c>
      <c r="AJ306" s="19">
        <f t="shared" si="116"/>
        <v>0</v>
      </c>
      <c r="AK306" s="269">
        <v>1.864</v>
      </c>
      <c r="AL306" s="287">
        <f t="shared" si="124"/>
        <v>8.95999999999998</v>
      </c>
      <c r="AM306" s="287">
        <f t="shared" si="125"/>
        <v>5.36</v>
      </c>
      <c r="AN306" s="293"/>
      <c r="AQ306" s="19">
        <f t="shared" si="105"/>
        <v>1.83349043244818</v>
      </c>
      <c r="AR306" s="19">
        <f t="shared" si="106"/>
        <v>1.43713328609557</v>
      </c>
      <c r="AS306" s="19">
        <f t="shared" si="107"/>
        <v>1</v>
      </c>
      <c r="AT306" s="19">
        <f t="shared" si="108"/>
        <v>1</v>
      </c>
      <c r="AU306" s="19">
        <f t="shared" si="109"/>
        <v>1</v>
      </c>
      <c r="AV306" s="232">
        <f t="shared" si="89"/>
        <v>0.0399999999999991</v>
      </c>
      <c r="AW306" s="232">
        <f t="shared" si="90"/>
        <v>0.04</v>
      </c>
      <c r="AX306" s="232">
        <f t="shared" si="91"/>
        <v>0</v>
      </c>
      <c r="AY306" s="232">
        <f t="shared" si="92"/>
        <v>0</v>
      </c>
      <c r="AZ306" s="232">
        <f t="shared" si="93"/>
        <v>0</v>
      </c>
    </row>
    <row r="307" spans="1:52">
      <c r="A307" s="269"/>
      <c r="C307" s="19">
        <v>184</v>
      </c>
      <c r="D307" s="86">
        <f ca="1" t="shared" si="117"/>
        <v>166.948800705676</v>
      </c>
      <c r="E307" s="251">
        <f ca="1" t="shared" si="94"/>
        <v>0.408751827982951</v>
      </c>
      <c r="F307" s="269">
        <f ca="1" t="shared" si="110"/>
        <v>278.983298462822</v>
      </c>
      <c r="G307" s="283">
        <f ca="1" t="shared" si="111"/>
        <v>114.034933223392</v>
      </c>
      <c r="H307" s="279">
        <f ca="1" t="shared" si="112"/>
        <v>0.264488883883715</v>
      </c>
      <c r="I307" s="269">
        <f ca="1">SUM($J$125:J307)/SUM($H$125:H307)</f>
        <v>0.58214413532759</v>
      </c>
      <c r="J307" s="284">
        <f t="shared" si="118"/>
        <v>0.114436057038581</v>
      </c>
      <c r="K307" s="19">
        <f t="shared" si="120"/>
        <v>19300</v>
      </c>
      <c r="L307" s="269">
        <f t="shared" si="113"/>
        <v>1.96499999999998</v>
      </c>
      <c r="M307" s="226">
        <f ca="1" t="shared" si="114"/>
        <v>26.136</v>
      </c>
      <c r="N307" s="280">
        <f ca="1" t="shared" si="119"/>
        <v>0.150052826845148</v>
      </c>
      <c r="O307" s="226">
        <f t="shared" si="123"/>
        <v>13.2</v>
      </c>
      <c r="P307" s="19">
        <f ca="1" t="shared" si="88"/>
        <v>10.8</v>
      </c>
      <c r="Q307" s="226">
        <f ca="1" t="shared" si="122"/>
        <v>1.98</v>
      </c>
      <c r="R307" s="269">
        <f ca="1" t="shared" si="95"/>
        <v>0.529359477879733</v>
      </c>
      <c r="S307" s="266">
        <f ca="1" t="shared" si="96"/>
        <v>49.7306151269034</v>
      </c>
      <c r="T307" s="226">
        <f ca="1">(1+OFFSET('玩法产出(新)'!$C$18,MATCH(X307,'玩法产出(新)'!$B$19:$B$25,0),1)*(1-V307)+OFFSET('玩法产出(新)'!$C$18,1+MATCH(X307,'玩法产出(新)'!$B$19:$B$25,0),1)*(V307))^AA307*(1+OFFSET('玩法产出(新)'!$C$18,MATCH(X307,'玩法产出(新)'!$B$19:$B$25,0),3)*(1-V307)+OFFSET('玩法产出(新)'!$C$18,1+MATCH(X307,'玩法产出(新)'!$B$19:$B$25,0),3)*(V307))^AB307*(1+OFFSET('玩法产出(新)'!$C$18,MATCH(X307,'玩法产出(新)'!$B$19:$B$25,0),4)*(1-V307)+OFFSET('玩法产出(新)'!$C$18,1+MATCH(X307,'玩法产出(新)'!$B$19:$B$25,0),4)*(V307))^AC307*(1+OFFSET('玩法产出(新)'!$C$18,MATCH(X307,'玩法产出(新)'!$B$19:$B$25,0),5)*(1+V307)+OFFSET('玩法产出(新)'!$C$18,1+MATCH(X307,'玩法产出(新)'!$B$19:$B$25,5),1)*(V307))^AD307*(1+OFFSET('玩法产出(新)'!$C$18,MATCH(X307,'玩法产出(新)'!$B$19:$B$25,0),6)*(1+V307)+OFFSET('玩法产出(新)'!$C$18,1+MATCH(X307,'玩法产出(新)'!$B$19:$B$25,0),6)*(V307))^AE307</f>
        <v>28.9249980960987</v>
      </c>
      <c r="U307" s="226">
        <f ca="1" t="shared" si="115"/>
        <v>0.144262944099223</v>
      </c>
      <c r="V307" s="226">
        <f ca="1">COUNTIF($X$124:$X307,X307)/(COUNTIF($X$124:$X$723,X307)+1)</f>
        <v>0.14020618556701</v>
      </c>
      <c r="W307" s="19">
        <v>30</v>
      </c>
      <c r="X307" s="19" t="s">
        <v>326</v>
      </c>
      <c r="Y307" s="19">
        <f t="shared" si="121"/>
        <v>19560</v>
      </c>
      <c r="Z307" s="19">
        <f ca="1" t="shared" si="97"/>
        <v>1.65930941993127</v>
      </c>
      <c r="AA307" s="282">
        <f ca="1" t="shared" si="98"/>
        <v>10.0194854166667</v>
      </c>
      <c r="AB307" s="282">
        <f ca="1" t="shared" si="99"/>
        <v>14.7739583333333</v>
      </c>
      <c r="AC307" s="282">
        <f ca="1" t="shared" si="100"/>
        <v>3.9669</v>
      </c>
      <c r="AD307" s="282">
        <f ca="1" t="shared" si="101"/>
        <v>0.991725</v>
      </c>
      <c r="AE307" s="282">
        <f ca="1" t="shared" si="102"/>
        <v>0.24793125</v>
      </c>
      <c r="AF307" s="19" t="str">
        <f t="shared" si="103"/>
        <v>粉2</v>
      </c>
      <c r="AG307" s="19">
        <f>IFERROR(_xlfn.XLOOKUP(C307+1,[2]基因升级!$E$141:$E$500,[2]基因升级!$D$141:$D$500)-1,AG306)</f>
        <v>87</v>
      </c>
      <c r="AH307" s="19">
        <v>7</v>
      </c>
      <c r="AI307" s="19">
        <f t="shared" si="104"/>
        <v>9.2039189417803</v>
      </c>
      <c r="AJ307" s="19">
        <f t="shared" si="116"/>
        <v>0</v>
      </c>
      <c r="AK307" s="269">
        <v>1.864</v>
      </c>
      <c r="AL307" s="287">
        <f t="shared" si="124"/>
        <v>8.99999999999998</v>
      </c>
      <c r="AM307" s="287">
        <f t="shared" si="125"/>
        <v>5.4</v>
      </c>
      <c r="AN307" s="293"/>
      <c r="AQ307" s="19">
        <f t="shared" si="105"/>
        <v>1.83845921242015</v>
      </c>
      <c r="AR307" s="19">
        <f t="shared" si="106"/>
        <v>1.44102793368283</v>
      </c>
      <c r="AS307" s="19">
        <f t="shared" si="107"/>
        <v>1</v>
      </c>
      <c r="AT307" s="19">
        <f t="shared" si="108"/>
        <v>1</v>
      </c>
      <c r="AU307" s="19">
        <f t="shared" si="109"/>
        <v>1</v>
      </c>
      <c r="AV307" s="232">
        <f t="shared" si="89"/>
        <v>0.0399999999999991</v>
      </c>
      <c r="AW307" s="232">
        <f t="shared" si="90"/>
        <v>0.04</v>
      </c>
      <c r="AX307" s="232">
        <f t="shared" si="91"/>
        <v>0</v>
      </c>
      <c r="AY307" s="232">
        <f t="shared" si="92"/>
        <v>0</v>
      </c>
      <c r="AZ307" s="232">
        <f t="shared" si="93"/>
        <v>0</v>
      </c>
    </row>
    <row r="308" spans="1:52">
      <c r="A308" s="269"/>
      <c r="C308" s="19">
        <v>185</v>
      </c>
      <c r="D308" s="86">
        <f ca="1" t="shared" si="117"/>
        <v>167.355753236642</v>
      </c>
      <c r="E308" s="251">
        <f ca="1" t="shared" si="94"/>
        <v>0.406952530965864</v>
      </c>
      <c r="F308" s="269">
        <f ca="1" t="shared" si="110"/>
        <v>280.861802848339</v>
      </c>
      <c r="G308" s="283">
        <f ca="1" t="shared" si="111"/>
        <v>114.297421520767</v>
      </c>
      <c r="H308" s="279">
        <f ca="1" t="shared" si="112"/>
        <v>0.262488297375455</v>
      </c>
      <c r="I308" s="269">
        <f ca="1">SUM($J$125:J308)/SUM($H$125:H308)</f>
        <v>0.581771523448182</v>
      </c>
      <c r="J308" s="284">
        <f t="shared" si="118"/>
        <v>0.113943564658975</v>
      </c>
      <c r="K308" s="19">
        <f t="shared" si="120"/>
        <v>19400</v>
      </c>
      <c r="L308" s="269">
        <f t="shared" si="113"/>
        <v>1.96999999999998</v>
      </c>
      <c r="M308" s="226">
        <f ca="1" t="shared" si="114"/>
        <v>26.4</v>
      </c>
      <c r="N308" s="280">
        <f ca="1" t="shared" si="119"/>
        <v>0.148544732716481</v>
      </c>
      <c r="O308" s="226">
        <f t="shared" si="123"/>
        <v>13.2</v>
      </c>
      <c r="P308" s="19">
        <f ca="1" t="shared" si="88"/>
        <v>11</v>
      </c>
      <c r="Q308" s="226">
        <f ca="1" t="shared" si="122"/>
        <v>2</v>
      </c>
      <c r="R308" s="269">
        <f ca="1" t="shared" si="95"/>
        <v>0.530897233064755</v>
      </c>
      <c r="S308" s="266">
        <f ca="1" t="shared" si="96"/>
        <v>49.8750793604938</v>
      </c>
      <c r="T308" s="226">
        <f ca="1">(1+OFFSET('玩法产出(新)'!$C$18,MATCH(X308,'玩法产出(新)'!$B$19:$B$25,0),1)*(1-V308)+OFFSET('玩法产出(新)'!$C$18,1+MATCH(X308,'玩法产出(新)'!$B$19:$B$25,0),1)*(V308))^AA308*(1+OFFSET('玩法产出(新)'!$C$18,MATCH(X308,'玩法产出(新)'!$B$19:$B$25,0),3)*(1-V308)+OFFSET('玩法产出(新)'!$C$18,1+MATCH(X308,'玩法产出(新)'!$B$19:$B$25,0),3)*(V308))^AB308*(1+OFFSET('玩法产出(新)'!$C$18,MATCH(X308,'玩法产出(新)'!$B$19:$B$25,0),4)*(1-V308)+OFFSET('玩法产出(新)'!$C$18,1+MATCH(X308,'玩法产出(新)'!$B$19:$B$25,0),4)*(V308))^AC308*(1+OFFSET('玩法产出(新)'!$C$18,MATCH(X308,'玩法产出(新)'!$B$19:$B$25,0),5)*(1+V308)+OFFSET('玩法产出(新)'!$C$18,1+MATCH(X308,'玩法产出(新)'!$B$19:$B$25,5),1)*(V308))^AD308*(1+OFFSET('玩法产出(新)'!$C$18,MATCH(X308,'玩法产出(新)'!$B$19:$B$25,0),6)*(1+V308)+OFFSET('玩法产出(新)'!$C$18,1+MATCH(X308,'玩法产出(新)'!$B$19:$B$25,0),6)*(V308))^AE308</f>
        <v>29.2091046003247</v>
      </c>
      <c r="U308" s="226">
        <f ca="1" t="shared" si="115"/>
        <v>0.144464233590409</v>
      </c>
      <c r="V308" s="226">
        <f ca="1">COUNTIF($X$124:$X308,X308)/(COUNTIF($X$124:$X$723,X308)+1)</f>
        <v>0.142268041237113</v>
      </c>
      <c r="W308" s="19">
        <v>30</v>
      </c>
      <c r="X308" s="19" t="s">
        <v>326</v>
      </c>
      <c r="Y308" s="19">
        <f t="shared" si="121"/>
        <v>19660</v>
      </c>
      <c r="Z308" s="19">
        <f ca="1" t="shared" si="97"/>
        <v>1.64360622121993</v>
      </c>
      <c r="AA308" s="282">
        <f ca="1" t="shared" si="98"/>
        <v>9.91972395833333</v>
      </c>
      <c r="AB308" s="282">
        <f ca="1" t="shared" si="99"/>
        <v>14.8463541666667</v>
      </c>
      <c r="AC308" s="282">
        <f ca="1" t="shared" si="100"/>
        <v>3.98775</v>
      </c>
      <c r="AD308" s="282">
        <f ca="1" t="shared" si="101"/>
        <v>0.9969375</v>
      </c>
      <c r="AE308" s="282">
        <f ca="1" t="shared" si="102"/>
        <v>0.249234375</v>
      </c>
      <c r="AF308" s="19" t="str">
        <f t="shared" si="103"/>
        <v>粉2</v>
      </c>
      <c r="AG308" s="19">
        <f>IFERROR(_xlfn.XLOOKUP(C308+1,[2]基因升级!$E$141:$E$500,[2]基因升级!$D$141:$D$500)-1,AG307)</f>
        <v>87</v>
      </c>
      <c r="AH308" s="19">
        <v>7</v>
      </c>
      <c r="AI308" s="19">
        <f t="shared" si="104"/>
        <v>9.2039189417803</v>
      </c>
      <c r="AJ308" s="19">
        <f t="shared" si="116"/>
        <v>0</v>
      </c>
      <c r="AK308" s="269">
        <v>1.864</v>
      </c>
      <c r="AL308" s="287">
        <f t="shared" si="124"/>
        <v>9.03999999999998</v>
      </c>
      <c r="AM308" s="287">
        <f t="shared" si="125"/>
        <v>5.44</v>
      </c>
      <c r="AN308" s="293"/>
      <c r="AQ308" s="19">
        <f t="shared" si="105"/>
        <v>1.84344145784249</v>
      </c>
      <c r="AR308" s="19">
        <f t="shared" si="106"/>
        <v>1.44493313580946</v>
      </c>
      <c r="AS308" s="19">
        <f t="shared" si="107"/>
        <v>1</v>
      </c>
      <c r="AT308" s="19">
        <f t="shared" si="108"/>
        <v>1</v>
      </c>
      <c r="AU308" s="19">
        <f t="shared" si="109"/>
        <v>1</v>
      </c>
      <c r="AV308" s="232">
        <f t="shared" si="89"/>
        <v>0.0399999999999991</v>
      </c>
      <c r="AW308" s="232">
        <f t="shared" si="90"/>
        <v>0.04</v>
      </c>
      <c r="AX308" s="232">
        <f t="shared" si="91"/>
        <v>0</v>
      </c>
      <c r="AY308" s="232">
        <f t="shared" si="92"/>
        <v>0</v>
      </c>
      <c r="AZ308" s="232">
        <f t="shared" si="93"/>
        <v>0</v>
      </c>
    </row>
    <row r="309" spans="1:52">
      <c r="A309" s="269"/>
      <c r="C309" s="19">
        <v>186</v>
      </c>
      <c r="D309" s="86">
        <f ca="1" t="shared" si="117"/>
        <v>167.760940944068</v>
      </c>
      <c r="E309" s="251">
        <f ca="1" t="shared" si="94"/>
        <v>0.405187707426657</v>
      </c>
      <c r="F309" s="269">
        <f ca="1" t="shared" si="110"/>
        <v>282.728083083055</v>
      </c>
      <c r="G309" s="283">
        <f ca="1" t="shared" si="111"/>
        <v>114.557943809556</v>
      </c>
      <c r="H309" s="279">
        <f ca="1" t="shared" si="112"/>
        <v>0.260522288789105</v>
      </c>
      <c r="I309" s="269">
        <f ca="1">SUM($J$125:J309)/SUM($H$125:H309)</f>
        <v>0.581407047925566</v>
      </c>
      <c r="J309" s="284">
        <f t="shared" si="118"/>
        <v>0.113455637627425</v>
      </c>
      <c r="K309" s="19">
        <f t="shared" si="120"/>
        <v>19500</v>
      </c>
      <c r="L309" s="269">
        <f t="shared" si="113"/>
        <v>1.97499999999998</v>
      </c>
      <c r="M309" s="226">
        <f ca="1" t="shared" si="114"/>
        <v>26.664</v>
      </c>
      <c r="N309" s="280">
        <f ca="1" t="shared" si="119"/>
        <v>0.147066651161666</v>
      </c>
      <c r="O309" s="226">
        <f t="shared" si="123"/>
        <v>13.2</v>
      </c>
      <c r="P309" s="19">
        <f ca="1" t="shared" si="88"/>
        <v>11.2</v>
      </c>
      <c r="Q309" s="226">
        <f ca="1" t="shared" si="122"/>
        <v>2.02</v>
      </c>
      <c r="R309" s="269">
        <f ca="1" t="shared" si="95"/>
        <v>0.532437129771881</v>
      </c>
      <c r="S309" s="266">
        <f ca="1" t="shared" si="96"/>
        <v>50.0197447791314</v>
      </c>
      <c r="T309" s="226">
        <f ca="1">(1+OFFSET('玩法产出(新)'!$C$18,MATCH(X309,'玩法产出(新)'!$B$19:$B$25,0),1)*(1-V309)+OFFSET('玩法产出(新)'!$C$18,1+MATCH(X309,'玩法产出(新)'!$B$19:$B$25,0),1)*(V309))^AA309*(1+OFFSET('玩法产出(新)'!$C$18,MATCH(X309,'玩法产出(新)'!$B$19:$B$25,0),3)*(1-V309)+OFFSET('玩法产出(新)'!$C$18,1+MATCH(X309,'玩法产出(新)'!$B$19:$B$25,0),3)*(V309))^AB309*(1+OFFSET('玩法产出(新)'!$C$18,MATCH(X309,'玩法产出(新)'!$B$19:$B$25,0),4)*(1-V309)+OFFSET('玩法产出(新)'!$C$18,1+MATCH(X309,'玩法产出(新)'!$B$19:$B$25,0),4)*(V309))^AC309*(1+OFFSET('玩法产出(新)'!$C$18,MATCH(X309,'玩法产出(新)'!$B$19:$B$25,0),5)*(1+V309)+OFFSET('玩法产出(新)'!$C$18,1+MATCH(X309,'玩法产出(新)'!$B$19:$B$25,5),1)*(V309))^AD309*(1+OFFSET('玩法产出(新)'!$C$18,MATCH(X309,'玩法产出(新)'!$B$19:$B$25,0),6)*(1+V309)+OFFSET('玩法产出(新)'!$C$18,1+MATCH(X309,'玩法产出(新)'!$B$19:$B$25,0),6)*(V309))^AE309</f>
        <v>29.4964031490494</v>
      </c>
      <c r="U309" s="226">
        <f ca="1" t="shared" si="115"/>
        <v>0.144665418637566</v>
      </c>
      <c r="V309" s="226">
        <f ca="1">COUNTIF($X$124:$X309,X309)/(COUNTIF($X$124:$X$723,X309)+1)</f>
        <v>0.144329896907216</v>
      </c>
      <c r="W309" s="19">
        <v>30</v>
      </c>
      <c r="X309" s="19" t="s">
        <v>326</v>
      </c>
      <c r="Y309" s="19">
        <f t="shared" si="121"/>
        <v>19760</v>
      </c>
      <c r="Z309" s="19">
        <f ca="1" t="shared" si="97"/>
        <v>1.62788656701031</v>
      </c>
      <c r="AA309" s="282">
        <f ca="1" t="shared" si="98"/>
        <v>9.8199625</v>
      </c>
      <c r="AB309" s="282">
        <f ca="1" t="shared" si="99"/>
        <v>14.91875</v>
      </c>
      <c r="AC309" s="282">
        <f ca="1" t="shared" si="100"/>
        <v>4.0086</v>
      </c>
      <c r="AD309" s="282">
        <f ca="1" t="shared" si="101"/>
        <v>1.00215</v>
      </c>
      <c r="AE309" s="282">
        <f ca="1" t="shared" si="102"/>
        <v>0.2505375</v>
      </c>
      <c r="AF309" s="19" t="str">
        <f t="shared" si="103"/>
        <v>粉2</v>
      </c>
      <c r="AG309" s="19">
        <f>IFERROR(_xlfn.XLOOKUP(C309+1,[2]基因升级!$E$141:$E$500,[2]基因升级!$D$141:$D$500)-1,AG308)</f>
        <v>87</v>
      </c>
      <c r="AH309" s="19">
        <v>7</v>
      </c>
      <c r="AI309" s="19">
        <f t="shared" si="104"/>
        <v>9.2039189417803</v>
      </c>
      <c r="AJ309" s="19">
        <f t="shared" si="116"/>
        <v>0</v>
      </c>
      <c r="AK309" s="269">
        <v>1.864</v>
      </c>
      <c r="AL309" s="287">
        <f t="shared" si="124"/>
        <v>9.07999999999998</v>
      </c>
      <c r="AM309" s="287">
        <f t="shared" si="125"/>
        <v>5.48</v>
      </c>
      <c r="AN309" s="293"/>
      <c r="AQ309" s="19">
        <f t="shared" si="105"/>
        <v>1.84843720520672</v>
      </c>
      <c r="AR309" s="19">
        <f t="shared" si="106"/>
        <v>1.44884892107836</v>
      </c>
      <c r="AS309" s="19">
        <f t="shared" si="107"/>
        <v>1</v>
      </c>
      <c r="AT309" s="19">
        <f t="shared" si="108"/>
        <v>1</v>
      </c>
      <c r="AU309" s="19">
        <f t="shared" si="109"/>
        <v>1</v>
      </c>
      <c r="AV309" s="232">
        <f t="shared" si="89"/>
        <v>0.0399999999999991</v>
      </c>
      <c r="AW309" s="232">
        <f t="shared" si="90"/>
        <v>0.04</v>
      </c>
      <c r="AX309" s="232">
        <f t="shared" si="91"/>
        <v>0</v>
      </c>
      <c r="AY309" s="232">
        <f t="shared" si="92"/>
        <v>0</v>
      </c>
      <c r="AZ309" s="232">
        <f t="shared" si="93"/>
        <v>0</v>
      </c>
    </row>
    <row r="310" spans="1:52">
      <c r="A310" s="269"/>
      <c r="C310" s="19">
        <v>187</v>
      </c>
      <c r="D310" s="86">
        <f ca="1" t="shared" si="117"/>
        <v>168.164397348183</v>
      </c>
      <c r="E310" s="251">
        <f ca="1" t="shared" si="94"/>
        <v>0.403456404115024</v>
      </c>
      <c r="F310" s="269">
        <f ca="1" t="shared" si="110"/>
        <v>284.582256083249</v>
      </c>
      <c r="G310" s="283">
        <f ca="1" t="shared" si="111"/>
        <v>114.816533714288</v>
      </c>
      <c r="H310" s="279">
        <f ca="1" t="shared" si="112"/>
        <v>0.258589904732005</v>
      </c>
      <c r="I310" s="269">
        <f ca="1">SUM($J$125:J310)/SUM($H$125:H310)</f>
        <v>0.581050484107268</v>
      </c>
      <c r="J310" s="284">
        <f t="shared" si="118"/>
        <v>0.112972209651623</v>
      </c>
      <c r="K310" s="19">
        <f t="shared" si="120"/>
        <v>19600</v>
      </c>
      <c r="L310" s="269">
        <f t="shared" si="113"/>
        <v>1.97999999999998</v>
      </c>
      <c r="M310" s="226">
        <f ca="1" t="shared" si="114"/>
        <v>26.928</v>
      </c>
      <c r="N310" s="280">
        <f ca="1" t="shared" si="119"/>
        <v>0.145617695080396</v>
      </c>
      <c r="O310" s="226">
        <f t="shared" si="123"/>
        <v>13.2</v>
      </c>
      <c r="P310" s="19">
        <f ca="1" t="shared" si="88"/>
        <v>11.4</v>
      </c>
      <c r="Q310" s="226">
        <f ca="1" t="shared" si="122"/>
        <v>2.04</v>
      </c>
      <c r="R310" s="269">
        <f ca="1" t="shared" si="95"/>
        <v>0.533979166890866</v>
      </c>
      <c r="S310" s="266">
        <f ca="1" t="shared" si="96"/>
        <v>50.1646112785144</v>
      </c>
      <c r="T310" s="226">
        <f ca="1">(1+OFFSET('玩法产出(新)'!$C$18,MATCH(X310,'玩法产出(新)'!$B$19:$B$25,0),1)*(1-V310)+OFFSET('玩法产出(新)'!$C$18,1+MATCH(X310,'玩法产出(新)'!$B$19:$B$25,0),1)*(V310))^AA310*(1+OFFSET('玩法产出(新)'!$C$18,MATCH(X310,'玩法产出(新)'!$B$19:$B$25,0),3)*(1-V310)+OFFSET('玩法产出(新)'!$C$18,1+MATCH(X310,'玩法产出(新)'!$B$19:$B$25,0),3)*(V310))^AB310*(1+OFFSET('玩法产出(新)'!$C$18,MATCH(X310,'玩法产出(新)'!$B$19:$B$25,0),4)*(1-V310)+OFFSET('玩法产出(新)'!$C$18,1+MATCH(X310,'玩法产出(新)'!$B$19:$B$25,0),4)*(V310))^AC310*(1+OFFSET('玩法产出(新)'!$C$18,MATCH(X310,'玩法产出(新)'!$B$19:$B$25,0),5)*(1+V310)+OFFSET('玩法产出(新)'!$C$18,1+MATCH(X310,'玩法产出(新)'!$B$19:$B$25,5),1)*(V310))^AD310*(1+OFFSET('玩法产出(新)'!$C$18,MATCH(X310,'玩法产出(新)'!$B$19:$B$25,0),6)*(1+V310)+OFFSET('玩法产出(新)'!$C$18,1+MATCH(X310,'玩法产出(新)'!$B$19:$B$25,0),6)*(V310))^AE310</f>
        <v>29.7869327886595</v>
      </c>
      <c r="U310" s="226">
        <f ca="1" t="shared" si="115"/>
        <v>0.144866499383004</v>
      </c>
      <c r="V310" s="226">
        <f ca="1">COUNTIF($X$124:$X310,X310)/(COUNTIF($X$124:$X$723,X310)+1)</f>
        <v>0.14639175257732</v>
      </c>
      <c r="W310" s="19">
        <v>30</v>
      </c>
      <c r="X310" s="19" t="s">
        <v>326</v>
      </c>
      <c r="Y310" s="19">
        <f t="shared" si="121"/>
        <v>19860</v>
      </c>
      <c r="Z310" s="19">
        <f ca="1" t="shared" si="97"/>
        <v>1.61215045730241</v>
      </c>
      <c r="AA310" s="282">
        <f ca="1" t="shared" si="98"/>
        <v>9.72020104166667</v>
      </c>
      <c r="AB310" s="282">
        <f ca="1" t="shared" si="99"/>
        <v>14.9911458333333</v>
      </c>
      <c r="AC310" s="282">
        <f ca="1" t="shared" si="100"/>
        <v>4.02945</v>
      </c>
      <c r="AD310" s="282">
        <f ca="1" t="shared" si="101"/>
        <v>1.0073625</v>
      </c>
      <c r="AE310" s="282">
        <f ca="1" t="shared" si="102"/>
        <v>0.251840625</v>
      </c>
      <c r="AF310" s="19" t="str">
        <f t="shared" si="103"/>
        <v>粉2</v>
      </c>
      <c r="AG310" s="19">
        <f>IFERROR(_xlfn.XLOOKUP(C310+1,[2]基因升级!$E$141:$E$500,[2]基因升级!$D$141:$D$500)-1,AG309)</f>
        <v>87</v>
      </c>
      <c r="AH310" s="19">
        <v>7</v>
      </c>
      <c r="AI310" s="19">
        <f t="shared" si="104"/>
        <v>9.2039189417803</v>
      </c>
      <c r="AJ310" s="19">
        <f t="shared" si="116"/>
        <v>0</v>
      </c>
      <c r="AK310" s="269">
        <v>1.864</v>
      </c>
      <c r="AL310" s="287">
        <f t="shared" si="124"/>
        <v>9.11999999999998</v>
      </c>
      <c r="AM310" s="287">
        <f t="shared" si="125"/>
        <v>5.52</v>
      </c>
      <c r="AN310" s="293"/>
      <c r="AQ310" s="19">
        <f t="shared" si="105"/>
        <v>1.85344649110324</v>
      </c>
      <c r="AR310" s="19">
        <f t="shared" si="106"/>
        <v>1.45277531816997</v>
      </c>
      <c r="AS310" s="19">
        <f t="shared" si="107"/>
        <v>1</v>
      </c>
      <c r="AT310" s="19">
        <f t="shared" si="108"/>
        <v>1</v>
      </c>
      <c r="AU310" s="19">
        <f t="shared" si="109"/>
        <v>1</v>
      </c>
      <c r="AV310" s="232">
        <f t="shared" si="89"/>
        <v>0.0399999999999991</v>
      </c>
      <c r="AW310" s="232">
        <f t="shared" si="90"/>
        <v>0.04</v>
      </c>
      <c r="AX310" s="232">
        <f t="shared" si="91"/>
        <v>0</v>
      </c>
      <c r="AY310" s="232">
        <f t="shared" si="92"/>
        <v>0</v>
      </c>
      <c r="AZ310" s="232">
        <f t="shared" si="93"/>
        <v>0</v>
      </c>
    </row>
    <row r="311" spans="1:52">
      <c r="A311" s="269"/>
      <c r="C311" s="19">
        <v>188</v>
      </c>
      <c r="D311" s="86">
        <f ca="1" t="shared" si="117"/>
        <v>168.566155051895</v>
      </c>
      <c r="E311" s="251">
        <f ca="1" t="shared" si="94"/>
        <v>0.401757703711604</v>
      </c>
      <c r="F311" s="269">
        <f ca="1" t="shared" si="110"/>
        <v>286.424436616741</v>
      </c>
      <c r="G311" s="283">
        <f ca="1" t="shared" si="111"/>
        <v>115.073223942032</v>
      </c>
      <c r="H311" s="279">
        <f ca="1" t="shared" si="112"/>
        <v>0.256690227743292</v>
      </c>
      <c r="I311" s="269">
        <f ca="1">SUM($J$125:J311)/SUM($H$125:H311)</f>
        <v>0.580701615347277</v>
      </c>
      <c r="J311" s="284">
        <f t="shared" si="118"/>
        <v>0.112493215750924</v>
      </c>
      <c r="K311" s="19">
        <f t="shared" si="120"/>
        <v>19700</v>
      </c>
      <c r="L311" s="269">
        <f t="shared" si="113"/>
        <v>1.98499999999998</v>
      </c>
      <c r="M311" s="226">
        <f ca="1" t="shared" si="114"/>
        <v>27.192</v>
      </c>
      <c r="N311" s="280">
        <f ca="1" t="shared" si="119"/>
        <v>0.14419701199234</v>
      </c>
      <c r="O311" s="226">
        <f t="shared" si="123"/>
        <v>13.2</v>
      </c>
      <c r="P311" s="19">
        <f ca="1" t="shared" ref="P311:P374" si="126">IF(O311=O310,P310+OFFSET($H$75,MATCH(P310,$G$76:$G$84,1),0),10)</f>
        <v>11.6</v>
      </c>
      <c r="Q311" s="226">
        <f ca="1" t="shared" si="122"/>
        <v>2.06</v>
      </c>
      <c r="R311" s="269">
        <f ca="1" t="shared" si="95"/>
        <v>0.535523343312974</v>
      </c>
      <c r="S311" s="266">
        <f ca="1" t="shared" si="96"/>
        <v>50.3096787544827</v>
      </c>
      <c r="T311" s="226">
        <f ca="1">(1+OFFSET('玩法产出(新)'!$C$18,MATCH(X311,'玩法产出(新)'!$B$19:$B$25,0),1)*(1-V311)+OFFSET('玩法产出(新)'!$C$18,1+MATCH(X311,'玩法产出(新)'!$B$19:$B$25,0),1)*(V311))^AA311*(1+OFFSET('玩法产出(新)'!$C$18,MATCH(X311,'玩法产出(新)'!$B$19:$B$25,0),3)*(1-V311)+OFFSET('玩法产出(新)'!$C$18,1+MATCH(X311,'玩法产出(新)'!$B$19:$B$25,0),3)*(V311))^AB311*(1+OFFSET('玩法产出(新)'!$C$18,MATCH(X311,'玩法产出(新)'!$B$19:$B$25,0),4)*(1-V311)+OFFSET('玩法产出(新)'!$C$18,1+MATCH(X311,'玩法产出(新)'!$B$19:$B$25,0),4)*(V311))^AC311*(1+OFFSET('玩法产出(新)'!$C$18,MATCH(X311,'玩法产出(新)'!$B$19:$B$25,0),5)*(1+V311)+OFFSET('玩法产出(新)'!$C$18,1+MATCH(X311,'玩法产出(新)'!$B$19:$B$25,5),1)*(V311))^AD311*(1+OFFSET('玩法产出(新)'!$C$18,MATCH(X311,'玩法产出(新)'!$B$19:$B$25,0),6)*(1+V311)+OFFSET('玩法产出(新)'!$C$18,1+MATCH(X311,'玩法产出(新)'!$B$19:$B$25,0),6)*(V311))^AE311</f>
        <v>30.0807330765344</v>
      </c>
      <c r="U311" s="226">
        <f ca="1" t="shared" si="115"/>
        <v>0.14506747596834</v>
      </c>
      <c r="V311" s="226">
        <f ca="1">COUNTIF($X$124:$X311,X311)/(COUNTIF($X$124:$X$723,X311)+1)</f>
        <v>0.148453608247423</v>
      </c>
      <c r="W311" s="19">
        <v>30</v>
      </c>
      <c r="X311" s="19" t="s">
        <v>326</v>
      </c>
      <c r="Y311" s="19">
        <f t="shared" si="121"/>
        <v>19960</v>
      </c>
      <c r="Z311" s="19">
        <f ca="1" t="shared" si="97"/>
        <v>1.59639789209622</v>
      </c>
      <c r="AA311" s="282">
        <f ca="1" t="shared" si="98"/>
        <v>9.62043958333334</v>
      </c>
      <c r="AB311" s="282">
        <f ca="1" t="shared" si="99"/>
        <v>15.0635416666667</v>
      </c>
      <c r="AC311" s="282">
        <f ca="1" t="shared" si="100"/>
        <v>4.0503</v>
      </c>
      <c r="AD311" s="282">
        <f ca="1" t="shared" si="101"/>
        <v>1.012575</v>
      </c>
      <c r="AE311" s="282">
        <f ca="1" t="shared" si="102"/>
        <v>0.25314375</v>
      </c>
      <c r="AF311" s="19" t="str">
        <f t="shared" si="103"/>
        <v>粉2</v>
      </c>
      <c r="AG311" s="19">
        <f>IFERROR(_xlfn.XLOOKUP(C311+1,[2]基因升级!$E$141:$E$500,[2]基因升级!$D$141:$D$500)-1,AG310)</f>
        <v>87</v>
      </c>
      <c r="AH311" s="19">
        <v>7</v>
      </c>
      <c r="AI311" s="19">
        <f t="shared" si="104"/>
        <v>9.2039189417803</v>
      </c>
      <c r="AJ311" s="19">
        <f t="shared" si="116"/>
        <v>0</v>
      </c>
      <c r="AK311" s="269">
        <v>1.864</v>
      </c>
      <c r="AL311" s="287">
        <f t="shared" si="124"/>
        <v>9.15999999999998</v>
      </c>
      <c r="AM311" s="287">
        <f t="shared" si="125"/>
        <v>5.56</v>
      </c>
      <c r="AN311" s="293"/>
      <c r="AQ311" s="19">
        <f t="shared" si="105"/>
        <v>1.85846935222165</v>
      </c>
      <c r="AR311" s="19">
        <f t="shared" si="106"/>
        <v>1.45671235584247</v>
      </c>
      <c r="AS311" s="19">
        <f t="shared" si="107"/>
        <v>1</v>
      </c>
      <c r="AT311" s="19">
        <f t="shared" si="108"/>
        <v>1</v>
      </c>
      <c r="AU311" s="19">
        <f t="shared" si="109"/>
        <v>1</v>
      </c>
      <c r="AV311" s="232">
        <f t="shared" ref="AV311:AV374" si="127">AL311-AL310</f>
        <v>0.0399999999999991</v>
      </c>
      <c r="AW311" s="232">
        <f t="shared" ref="AW311:AW374" si="128">AM311-AM310</f>
        <v>0.04</v>
      </c>
      <c r="AX311" s="232">
        <f t="shared" ref="AX311:AX374" si="129">AN311-AN310</f>
        <v>0</v>
      </c>
      <c r="AY311" s="232">
        <f t="shared" ref="AY311:AY374" si="130">AO311-AO310</f>
        <v>0</v>
      </c>
      <c r="AZ311" s="232">
        <f t="shared" ref="AZ311:AZ374" si="131">AP311-AP310</f>
        <v>0</v>
      </c>
    </row>
    <row r="312" spans="1:52">
      <c r="A312" s="269"/>
      <c r="C312" s="19">
        <v>189</v>
      </c>
      <c r="D312" s="86">
        <f ca="1" t="shared" si="117"/>
        <v>168.966245775019</v>
      </c>
      <c r="E312" s="251">
        <f ca="1" t="shared" si="94"/>
        <v>0.400090723123652</v>
      </c>
      <c r="F312" s="269">
        <f ca="1" t="shared" si="110"/>
        <v>288.254737366096</v>
      </c>
      <c r="G312" s="283">
        <f ca="1" t="shared" si="111"/>
        <v>115.32804631662</v>
      </c>
      <c r="H312" s="279">
        <f ca="1" t="shared" si="112"/>
        <v>0.254822374588258</v>
      </c>
      <c r="I312" s="269">
        <f ca="1">SUM($J$125:J312)/SUM($H$125:H312)</f>
        <v>0.580360232652128</v>
      </c>
      <c r="J312" s="284">
        <f t="shared" si="118"/>
        <v>0.112018592223691</v>
      </c>
      <c r="K312" s="19">
        <f t="shared" si="120"/>
        <v>19800</v>
      </c>
      <c r="L312" s="269">
        <f t="shared" si="113"/>
        <v>1.98999999999998</v>
      </c>
      <c r="M312" s="226">
        <f ca="1" t="shared" si="114"/>
        <v>27.456</v>
      </c>
      <c r="N312" s="280">
        <f ca="1" t="shared" si="119"/>
        <v>0.142803782364588</v>
      </c>
      <c r="O312" s="226">
        <f t="shared" si="123"/>
        <v>13.2</v>
      </c>
      <c r="P312" s="19">
        <f ca="1" t="shared" si="126"/>
        <v>11.8</v>
      </c>
      <c r="Q312" s="226">
        <f ca="1" t="shared" si="122"/>
        <v>2.08</v>
      </c>
      <c r="R312" s="269">
        <f ca="1" t="shared" si="95"/>
        <v>0.53706965793098</v>
      </c>
      <c r="S312" s="266">
        <f ca="1" t="shared" si="96"/>
        <v>50.4549471030181</v>
      </c>
      <c r="T312" s="226">
        <f ca="1">(1+OFFSET('玩法产出(新)'!$C$18,MATCH(X312,'玩法产出(新)'!$B$19:$B$25,0),1)*(1-V312)+OFFSET('玩法产出(新)'!$C$18,1+MATCH(X312,'玩法产出(新)'!$B$19:$B$25,0),1)*(V312))^AA312*(1+OFFSET('玩法产出(新)'!$C$18,MATCH(X312,'玩法产出(新)'!$B$19:$B$25,0),3)*(1-V312)+OFFSET('玩法产出(新)'!$C$18,1+MATCH(X312,'玩法产出(新)'!$B$19:$B$25,0),3)*(V312))^AB312*(1+OFFSET('玩法产出(新)'!$C$18,MATCH(X312,'玩法产出(新)'!$B$19:$B$25,0),4)*(1-V312)+OFFSET('玩法产出(新)'!$C$18,1+MATCH(X312,'玩法产出(新)'!$B$19:$B$25,0),4)*(V312))^AC312*(1+OFFSET('玩法产出(新)'!$C$18,MATCH(X312,'玩法产出(新)'!$B$19:$B$25,0),5)*(1+V312)+OFFSET('玩法产出(新)'!$C$18,1+MATCH(X312,'玩法产出(新)'!$B$19:$B$25,5),1)*(V312))^AD312*(1+OFFSET('玩法产出(新)'!$C$18,MATCH(X312,'玩法产出(新)'!$B$19:$B$25,0),6)*(1+V312)+OFFSET('玩法产出(新)'!$C$18,1+MATCH(X312,'玩法产出(新)'!$B$19:$B$25,0),6)*(V312))^AE312</f>
        <v>30.3778440881159</v>
      </c>
      <c r="U312" s="226">
        <f ca="1" t="shared" si="115"/>
        <v>0.145268348535373</v>
      </c>
      <c r="V312" s="226">
        <f ca="1">COUNTIF($X$124:$X312,X312)/(COUNTIF($X$124:$X$723,X312)+1)</f>
        <v>0.150515463917526</v>
      </c>
      <c r="W312" s="19">
        <v>30</v>
      </c>
      <c r="X312" s="19" t="s">
        <v>326</v>
      </c>
      <c r="Y312" s="19">
        <f t="shared" si="121"/>
        <v>20060</v>
      </c>
      <c r="Z312" s="19">
        <f ca="1" t="shared" si="97"/>
        <v>1.58062887139175</v>
      </c>
      <c r="AA312" s="282">
        <f ca="1" t="shared" si="98"/>
        <v>9.520678125</v>
      </c>
      <c r="AB312" s="282">
        <f ca="1" t="shared" si="99"/>
        <v>15.1359375</v>
      </c>
      <c r="AC312" s="282">
        <f ca="1" t="shared" si="100"/>
        <v>4.07115</v>
      </c>
      <c r="AD312" s="282">
        <f ca="1" t="shared" si="101"/>
        <v>1.0177875</v>
      </c>
      <c r="AE312" s="282">
        <f ca="1" t="shared" si="102"/>
        <v>0.254446875</v>
      </c>
      <c r="AF312" s="19" t="str">
        <f t="shared" si="103"/>
        <v>粉2</v>
      </c>
      <c r="AG312" s="19">
        <f>IFERROR(_xlfn.XLOOKUP(C312+1,[2]基因升级!$E$141:$E$500,[2]基因升级!$D$141:$D$500)-1,AG311)</f>
        <v>87</v>
      </c>
      <c r="AH312" s="19">
        <v>7</v>
      </c>
      <c r="AI312" s="19">
        <f t="shared" si="104"/>
        <v>9.2039189417803</v>
      </c>
      <c r="AJ312" s="19">
        <f t="shared" si="116"/>
        <v>0</v>
      </c>
      <c r="AK312" s="269">
        <v>1.864</v>
      </c>
      <c r="AL312" s="287">
        <f t="shared" si="124"/>
        <v>9.19999999999997</v>
      </c>
      <c r="AM312" s="287">
        <f t="shared" si="125"/>
        <v>5.6</v>
      </c>
      <c r="AN312" s="293"/>
      <c r="AQ312" s="19">
        <f t="shared" si="105"/>
        <v>1.86350582535095</v>
      </c>
      <c r="AR312" s="19">
        <f t="shared" si="106"/>
        <v>1.46066006293193</v>
      </c>
      <c r="AS312" s="19">
        <f t="shared" si="107"/>
        <v>1</v>
      </c>
      <c r="AT312" s="19">
        <f t="shared" si="108"/>
        <v>1</v>
      </c>
      <c r="AU312" s="19">
        <f t="shared" si="109"/>
        <v>1</v>
      </c>
      <c r="AV312" s="232">
        <f t="shared" si="127"/>
        <v>0.0399999999999991</v>
      </c>
      <c r="AW312" s="232">
        <f t="shared" si="128"/>
        <v>0.04</v>
      </c>
      <c r="AX312" s="232">
        <f t="shared" si="129"/>
        <v>0</v>
      </c>
      <c r="AY312" s="232">
        <f t="shared" si="130"/>
        <v>0</v>
      </c>
      <c r="AZ312" s="232">
        <f t="shared" si="131"/>
        <v>0</v>
      </c>
    </row>
    <row r="313" spans="1:52">
      <c r="A313" s="269"/>
      <c r="C313" s="19">
        <v>190</v>
      </c>
      <c r="D313" s="86">
        <f ca="1" t="shared" si="117"/>
        <v>169.364700386894</v>
      </c>
      <c r="E313" s="251">
        <f ca="1" t="shared" si="94"/>
        <v>0.398454611875724</v>
      </c>
      <c r="F313" s="269">
        <f ca="1" t="shared" si="110"/>
        <v>290.073268990847</v>
      </c>
      <c r="G313" s="283">
        <f ca="1" t="shared" si="111"/>
        <v>115.58103181127</v>
      </c>
      <c r="H313" s="279">
        <f ca="1" t="shared" si="112"/>
        <v>0.252985494650531</v>
      </c>
      <c r="I313" s="269">
        <f ca="1">SUM($J$125:J313)/SUM($H$125:H313)</f>
        <v>0.580026134345714</v>
      </c>
      <c r="J313" s="284">
        <f t="shared" si="118"/>
        <v>0.111548276615423</v>
      </c>
      <c r="K313" s="19">
        <f t="shared" si="120"/>
        <v>19900</v>
      </c>
      <c r="L313" s="269">
        <f t="shared" si="113"/>
        <v>1.99499999999998</v>
      </c>
      <c r="M313" s="226">
        <f ca="1" t="shared" si="114"/>
        <v>27.72</v>
      </c>
      <c r="N313" s="280">
        <f ca="1" t="shared" si="119"/>
        <v>0.141437218035101</v>
      </c>
      <c r="O313" s="226">
        <f t="shared" si="123"/>
        <v>13.2</v>
      </c>
      <c r="P313" s="19">
        <f ca="1" t="shared" si="126"/>
        <v>12</v>
      </c>
      <c r="Q313" s="226">
        <f ca="1" t="shared" si="122"/>
        <v>2.1</v>
      </c>
      <c r="R313" s="269">
        <f ca="1" t="shared" si="95"/>
        <v>0.538618109639157</v>
      </c>
      <c r="S313" s="266">
        <f ca="1" t="shared" si="96"/>
        <v>50.6004162202433</v>
      </c>
      <c r="T313" s="226">
        <f ca="1">(1+OFFSET('玩法产出(新)'!$C$18,MATCH(X313,'玩法产出(新)'!$B$19:$B$25,0),1)*(1-V313)+OFFSET('玩法产出(新)'!$C$18,1+MATCH(X313,'玩法产出(新)'!$B$19:$B$25,0),1)*(V313))^AA313*(1+OFFSET('玩法产出(新)'!$C$18,MATCH(X313,'玩法产出(新)'!$B$19:$B$25,0),3)*(1-V313)+OFFSET('玩法产出(新)'!$C$18,1+MATCH(X313,'玩法产出(新)'!$B$19:$B$25,0),3)*(V313))^AB313*(1+OFFSET('玩法产出(新)'!$C$18,MATCH(X313,'玩法产出(新)'!$B$19:$B$25,0),4)*(1-V313)+OFFSET('玩法产出(新)'!$C$18,1+MATCH(X313,'玩法产出(新)'!$B$19:$B$25,0),4)*(V313))^AC313*(1+OFFSET('玩法产出(新)'!$C$18,MATCH(X313,'玩法产出(新)'!$B$19:$B$25,0),5)*(1+V313)+OFFSET('玩法产出(新)'!$C$18,1+MATCH(X313,'玩法产出(新)'!$B$19:$B$25,5),1)*(V313))^AD313*(1+OFFSET('玩法产出(新)'!$C$18,MATCH(X313,'玩法产出(新)'!$B$19:$B$25,0),6)*(1+V313)+OFFSET('玩法产出(新)'!$C$18,1+MATCH(X313,'玩法产出(新)'!$B$19:$B$25,0),6)*(V313))^AE313</f>
        <v>30.6783064240778</v>
      </c>
      <c r="U313" s="226">
        <f ca="1" t="shared" si="115"/>
        <v>0.145469117225201</v>
      </c>
      <c r="V313" s="226">
        <f ca="1">COUNTIF($X$124:$X313,X313)/(COUNTIF($X$124:$X$723,X313)+1)</f>
        <v>0.152577319587629</v>
      </c>
      <c r="W313" s="19">
        <v>30</v>
      </c>
      <c r="X313" s="19" t="s">
        <v>326</v>
      </c>
      <c r="Y313" s="19">
        <f t="shared" si="121"/>
        <v>20160</v>
      </c>
      <c r="Z313" s="19">
        <f ca="1" t="shared" si="97"/>
        <v>1.564843395189</v>
      </c>
      <c r="AA313" s="282">
        <f ca="1" t="shared" si="98"/>
        <v>9.42091666666667</v>
      </c>
      <c r="AB313" s="282">
        <f ca="1" t="shared" si="99"/>
        <v>15.2083333333333</v>
      </c>
      <c r="AC313" s="282">
        <f ca="1" t="shared" si="100"/>
        <v>4.092</v>
      </c>
      <c r="AD313" s="282">
        <f ca="1" t="shared" si="101"/>
        <v>1.023</v>
      </c>
      <c r="AE313" s="282">
        <f ca="1" t="shared" si="102"/>
        <v>0.25575</v>
      </c>
      <c r="AF313" s="19" t="str">
        <f t="shared" si="103"/>
        <v>粉2</v>
      </c>
      <c r="AG313" s="19">
        <f>IFERROR(_xlfn.XLOOKUP(C313+1,[2]基因升级!$E$141:$E$500,[2]基因升级!$D$141:$D$500)-1,AG312)</f>
        <v>87</v>
      </c>
      <c r="AH313" s="19">
        <v>7</v>
      </c>
      <c r="AI313" s="19">
        <f t="shared" si="104"/>
        <v>9.2039189417803</v>
      </c>
      <c r="AJ313" s="19">
        <f t="shared" si="116"/>
        <v>0</v>
      </c>
      <c r="AK313" s="269">
        <v>1.864</v>
      </c>
      <c r="AL313" s="287">
        <f t="shared" si="124"/>
        <v>9.23999999999997</v>
      </c>
      <c r="AM313" s="287">
        <f t="shared" si="125"/>
        <v>5.64</v>
      </c>
      <c r="AN313" s="293"/>
      <c r="AQ313" s="19">
        <f t="shared" si="105"/>
        <v>1.86855594737984</v>
      </c>
      <c r="AR313" s="19">
        <f t="shared" si="106"/>
        <v>1.4646184683526</v>
      </c>
      <c r="AS313" s="19">
        <f t="shared" si="107"/>
        <v>1</v>
      </c>
      <c r="AT313" s="19">
        <f t="shared" si="108"/>
        <v>1</v>
      </c>
      <c r="AU313" s="19">
        <f t="shared" si="109"/>
        <v>1</v>
      </c>
      <c r="AV313" s="232">
        <f t="shared" si="127"/>
        <v>0.0399999999999991</v>
      </c>
      <c r="AW313" s="232">
        <f t="shared" si="128"/>
        <v>0.04</v>
      </c>
      <c r="AX313" s="232">
        <f t="shared" si="129"/>
        <v>0</v>
      </c>
      <c r="AY313" s="232">
        <f t="shared" si="130"/>
        <v>0</v>
      </c>
      <c r="AZ313" s="232">
        <f t="shared" si="131"/>
        <v>0</v>
      </c>
    </row>
    <row r="314" spans="1:52">
      <c r="A314" s="269"/>
      <c r="C314" s="19">
        <v>191</v>
      </c>
      <c r="D314" s="86">
        <f ca="1" t="shared" si="117"/>
        <v>169.761548937487</v>
      </c>
      <c r="E314" s="251">
        <f ca="1" t="shared" si="94"/>
        <v>0.396848550592735</v>
      </c>
      <c r="F314" s="269">
        <f ca="1" t="shared" si="110"/>
        <v>291.880140186166</v>
      </c>
      <c r="G314" s="283">
        <f ca="1" t="shared" si="111"/>
        <v>115.832210579684</v>
      </c>
      <c r="H314" s="279">
        <f ca="1" t="shared" si="112"/>
        <v>0.251178768413979</v>
      </c>
      <c r="I314" s="269">
        <f ca="1">SUM($J$125:J314)/SUM($H$125:H314)</f>
        <v>0.579699125751683</v>
      </c>
      <c r="J314" s="284">
        <f t="shared" si="118"/>
        <v>0.111082207688078</v>
      </c>
      <c r="K314" s="19">
        <f t="shared" si="120"/>
        <v>20000</v>
      </c>
      <c r="L314" s="269">
        <f t="shared" si="113"/>
        <v>1.99999999999998</v>
      </c>
      <c r="M314" s="226">
        <f ca="1" t="shared" si="114"/>
        <v>27.984</v>
      </c>
      <c r="N314" s="280">
        <f ca="1" t="shared" si="119"/>
        <v>0.140096560725887</v>
      </c>
      <c r="O314" s="226">
        <f t="shared" si="123"/>
        <v>13.2</v>
      </c>
      <c r="P314" s="19">
        <f ca="1" t="shared" si="126"/>
        <v>12.2</v>
      </c>
      <c r="Q314" s="226">
        <f ca="1" t="shared" si="122"/>
        <v>2.12</v>
      </c>
      <c r="R314" s="269">
        <f ca="1" t="shared" si="95"/>
        <v>0.540168697333281</v>
      </c>
      <c r="S314" s="266">
        <f ca="1" t="shared" si="96"/>
        <v>50.7460860024221</v>
      </c>
      <c r="T314" s="226">
        <f ca="1">(1+OFFSET('玩法产出(新)'!$C$18,MATCH(X314,'玩法产出(新)'!$B$19:$B$25,0),1)*(1-V314)+OFFSET('玩法产出(新)'!$C$18,1+MATCH(X314,'玩法产出(新)'!$B$19:$B$25,0),1)*(V314))^AA314*(1+OFFSET('玩法产出(新)'!$C$18,MATCH(X314,'玩法产出(新)'!$B$19:$B$25,0),3)*(1-V314)+OFFSET('玩法产出(新)'!$C$18,1+MATCH(X314,'玩法产出(新)'!$B$19:$B$25,0),3)*(V314))^AB314*(1+OFFSET('玩法产出(新)'!$C$18,MATCH(X314,'玩法产出(新)'!$B$19:$B$25,0),4)*(1-V314)+OFFSET('玩法产出(新)'!$C$18,1+MATCH(X314,'玩法产出(新)'!$B$19:$B$25,0),4)*(V314))^AC314*(1+OFFSET('玩法产出(新)'!$C$18,MATCH(X314,'玩法产出(新)'!$B$19:$B$25,0),5)*(1+V314)+OFFSET('玩法产出(新)'!$C$18,1+MATCH(X314,'玩法产出(新)'!$B$19:$B$25,5),1)*(V314))^AD314*(1+OFFSET('玩法产出(新)'!$C$18,MATCH(X314,'玩法产出(新)'!$B$19:$B$25,0),6)*(1+V314)+OFFSET('玩法产出(新)'!$C$18,1+MATCH(X314,'玩法产出(新)'!$B$19:$B$25,0),6)*(V314))^AE314</f>
        <v>30.9821612176012</v>
      </c>
      <c r="U314" s="226">
        <f ca="1" t="shared" si="115"/>
        <v>0.14566978217877</v>
      </c>
      <c r="V314" s="226">
        <f ca="1">COUNTIF($X$124:$X314,X314)/(COUNTIF($X$124:$X$723,X314)+1)</f>
        <v>0.154639175257732</v>
      </c>
      <c r="W314" s="19">
        <v>30</v>
      </c>
      <c r="X314" s="19" t="s">
        <v>326</v>
      </c>
      <c r="Y314" s="19">
        <f t="shared" si="121"/>
        <v>20260</v>
      </c>
      <c r="Z314" s="19">
        <f ca="1" t="shared" si="97"/>
        <v>1.54904146348797</v>
      </c>
      <c r="AA314" s="282">
        <f ca="1" t="shared" si="98"/>
        <v>9.32115520833333</v>
      </c>
      <c r="AB314" s="282">
        <f ca="1" t="shared" si="99"/>
        <v>15.2807291666667</v>
      </c>
      <c r="AC314" s="282">
        <f ca="1" t="shared" si="100"/>
        <v>4.11285</v>
      </c>
      <c r="AD314" s="282">
        <f ca="1" t="shared" si="101"/>
        <v>1.0282125</v>
      </c>
      <c r="AE314" s="282">
        <f ca="1" t="shared" si="102"/>
        <v>0.257053125</v>
      </c>
      <c r="AF314" s="19" t="str">
        <f t="shared" si="103"/>
        <v>粉2</v>
      </c>
      <c r="AG314" s="19">
        <f>IFERROR(_xlfn.XLOOKUP(C314+1,[2]基因升级!$E$141:$E$500,[2]基因升级!$D$141:$D$500)-1,AG313)</f>
        <v>88</v>
      </c>
      <c r="AH314" s="19">
        <v>7</v>
      </c>
      <c r="AI314" s="19">
        <f t="shared" si="104"/>
        <v>9.2039189417803</v>
      </c>
      <c r="AJ314" s="19">
        <f t="shared" si="116"/>
        <v>0</v>
      </c>
      <c r="AK314" s="269">
        <v>1.864</v>
      </c>
      <c r="AL314" s="287">
        <f t="shared" si="124"/>
        <v>9.27999999999997</v>
      </c>
      <c r="AM314" s="287">
        <f t="shared" si="125"/>
        <v>5.68</v>
      </c>
      <c r="AN314" s="293"/>
      <c r="AQ314" s="19">
        <f t="shared" si="105"/>
        <v>1.87361975529699</v>
      </c>
      <c r="AR314" s="19">
        <f t="shared" si="106"/>
        <v>1.46858760109709</v>
      </c>
      <c r="AS314" s="19">
        <f t="shared" si="107"/>
        <v>1</v>
      </c>
      <c r="AT314" s="19">
        <f t="shared" si="108"/>
        <v>1</v>
      </c>
      <c r="AU314" s="19">
        <f t="shared" si="109"/>
        <v>1</v>
      </c>
      <c r="AV314" s="232">
        <f t="shared" si="127"/>
        <v>0.0399999999999991</v>
      </c>
      <c r="AW314" s="232">
        <f t="shared" si="128"/>
        <v>0.04</v>
      </c>
      <c r="AX314" s="232">
        <f t="shared" si="129"/>
        <v>0</v>
      </c>
      <c r="AY314" s="232">
        <f t="shared" si="130"/>
        <v>0</v>
      </c>
      <c r="AZ314" s="232">
        <f t="shared" si="131"/>
        <v>0</v>
      </c>
    </row>
    <row r="315" spans="1:52">
      <c r="A315" s="269"/>
      <c r="C315" s="19">
        <v>192</v>
      </c>
      <c r="D315" s="86">
        <f ca="1" t="shared" si="117"/>
        <v>170.156820687054</v>
      </c>
      <c r="E315" s="251">
        <f ca="1" t="shared" si="94"/>
        <v>0.395271749566901</v>
      </c>
      <c r="F315" s="269">
        <f ca="1" t="shared" si="110"/>
        <v>293.67545773991</v>
      </c>
      <c r="G315" s="283">
        <f ca="1" t="shared" si="111"/>
        <v>116.081611985715</v>
      </c>
      <c r="H315" s="279">
        <f ca="1" t="shared" si="112"/>
        <v>0.249401406030088</v>
      </c>
      <c r="I315" s="269">
        <f ca="1">SUM($J$125:J315)/SUM($H$125:H315)</f>
        <v>0.57937901889234</v>
      </c>
      <c r="J315" s="284">
        <f t="shared" si="118"/>
        <v>0.110620325390073</v>
      </c>
      <c r="K315" s="19">
        <f t="shared" si="120"/>
        <v>20100</v>
      </c>
      <c r="L315" s="269">
        <f t="shared" si="113"/>
        <v>2.00499999999998</v>
      </c>
      <c r="M315" s="226">
        <f ca="1" t="shared" si="114"/>
        <v>28.248</v>
      </c>
      <c r="N315" s="280">
        <f ca="1" t="shared" si="119"/>
        <v>0.138781080640022</v>
      </c>
      <c r="O315" s="226">
        <f t="shared" si="123"/>
        <v>13.2</v>
      </c>
      <c r="P315" s="19">
        <f ca="1" t="shared" si="126"/>
        <v>12.4</v>
      </c>
      <c r="Q315" s="226">
        <f ca="1" t="shared" si="122"/>
        <v>2.14</v>
      </c>
      <c r="R315" s="269">
        <f ca="1" t="shared" si="95"/>
        <v>0.541721419910626</v>
      </c>
      <c r="S315" s="266">
        <f ca="1" t="shared" si="96"/>
        <v>50.8919563459589</v>
      </c>
      <c r="T315" s="226">
        <f ca="1">(1+OFFSET('玩法产出(新)'!$C$18,MATCH(X315,'玩法产出(新)'!$B$19:$B$25,0),1)*(1-V315)+OFFSET('玩法产出(新)'!$C$18,1+MATCH(X315,'玩法产出(新)'!$B$19:$B$25,0),1)*(V315))^AA315*(1+OFFSET('玩法产出(新)'!$C$18,MATCH(X315,'玩法产出(新)'!$B$19:$B$25,0),3)*(1-V315)+OFFSET('玩法产出(新)'!$C$18,1+MATCH(X315,'玩法产出(新)'!$B$19:$B$25,0),3)*(V315))^AB315*(1+OFFSET('玩法产出(新)'!$C$18,MATCH(X315,'玩法产出(新)'!$B$19:$B$25,0),4)*(1-V315)+OFFSET('玩法产出(新)'!$C$18,1+MATCH(X315,'玩法产出(新)'!$B$19:$B$25,0),4)*(V315))^AC315*(1+OFFSET('玩法产出(新)'!$C$18,MATCH(X315,'玩法产出(新)'!$B$19:$B$25,0),5)*(1+V315)+OFFSET('玩法产出(新)'!$C$18,1+MATCH(X315,'玩法产出(新)'!$B$19:$B$25,5),1)*(V315))^AD315*(1+OFFSET('玩法产出(新)'!$C$18,MATCH(X315,'玩法产出(新)'!$B$19:$B$25,0),6)*(1+V315)+OFFSET('玩法产出(新)'!$C$18,1+MATCH(X315,'玩法产出(新)'!$B$19:$B$25,0),6)*(V315))^AE315</f>
        <v>31.2894501417556</v>
      </c>
      <c r="U315" s="226">
        <f ca="1" t="shared" si="115"/>
        <v>0.145870343536805</v>
      </c>
      <c r="V315" s="226">
        <f ca="1">COUNTIF($X$124:$X315,X315)/(COUNTIF($X$124:$X$723,X315)+1)</f>
        <v>0.156701030927835</v>
      </c>
      <c r="W315" s="19">
        <v>30</v>
      </c>
      <c r="X315" s="19" t="s">
        <v>326</v>
      </c>
      <c r="Y315" s="19">
        <f t="shared" si="121"/>
        <v>20360</v>
      </c>
      <c r="Z315" s="19">
        <f ca="1" t="shared" si="97"/>
        <v>1.53322307628866</v>
      </c>
      <c r="AA315" s="282">
        <f ca="1" t="shared" si="98"/>
        <v>9.22139375</v>
      </c>
      <c r="AB315" s="282">
        <f ca="1" t="shared" si="99"/>
        <v>15.353125</v>
      </c>
      <c r="AC315" s="282">
        <f ca="1" t="shared" si="100"/>
        <v>4.1337</v>
      </c>
      <c r="AD315" s="282">
        <f ca="1" t="shared" si="101"/>
        <v>1.033425</v>
      </c>
      <c r="AE315" s="282">
        <f ca="1" t="shared" si="102"/>
        <v>0.25835625</v>
      </c>
      <c r="AF315" s="19" t="str">
        <f t="shared" si="103"/>
        <v>粉2</v>
      </c>
      <c r="AG315" s="19">
        <f>IFERROR(_xlfn.XLOOKUP(C315+1,[2]基因升级!$E$141:$E$500,[2]基因升级!$D$141:$D$500)-1,AG314)</f>
        <v>88</v>
      </c>
      <c r="AH315" s="19">
        <v>7</v>
      </c>
      <c r="AI315" s="19">
        <f t="shared" si="104"/>
        <v>9.2039189417803</v>
      </c>
      <c r="AJ315" s="19">
        <f t="shared" si="116"/>
        <v>0</v>
      </c>
      <c r="AK315" s="269">
        <v>1.864</v>
      </c>
      <c r="AL315" s="287">
        <f t="shared" si="124"/>
        <v>9.31999999999997</v>
      </c>
      <c r="AM315" s="287">
        <f t="shared" si="125"/>
        <v>5.72</v>
      </c>
      <c r="AN315" s="293"/>
      <c r="AQ315" s="19">
        <f t="shared" si="105"/>
        <v>1.87869728619132</v>
      </c>
      <c r="AR315" s="19">
        <f t="shared" si="106"/>
        <v>1.47256749023656</v>
      </c>
      <c r="AS315" s="19">
        <f t="shared" si="107"/>
        <v>1</v>
      </c>
      <c r="AT315" s="19">
        <f t="shared" si="108"/>
        <v>1</v>
      </c>
      <c r="AU315" s="19">
        <f t="shared" si="109"/>
        <v>1</v>
      </c>
      <c r="AV315" s="232">
        <f t="shared" si="127"/>
        <v>0.0399999999999991</v>
      </c>
      <c r="AW315" s="232">
        <f t="shared" si="128"/>
        <v>0.04</v>
      </c>
      <c r="AX315" s="232">
        <f t="shared" si="129"/>
        <v>0</v>
      </c>
      <c r="AY315" s="232">
        <f t="shared" si="130"/>
        <v>0</v>
      </c>
      <c r="AZ315" s="232">
        <f t="shared" si="131"/>
        <v>0</v>
      </c>
    </row>
    <row r="316" spans="1:52">
      <c r="A316" s="269"/>
      <c r="C316" s="19">
        <v>193</v>
      </c>
      <c r="D316" s="86">
        <f ca="1" t="shared" si="117"/>
        <v>170.550544134457</v>
      </c>
      <c r="E316" s="251">
        <f ca="1" t="shared" ref="E316:E379" si="132">J316+N316+U316+AJ316</f>
        <v>0.393723447403471</v>
      </c>
      <c r="F316" s="269">
        <f ca="1" t="shared" si="110"/>
        <v>295.459326587856</v>
      </c>
      <c r="G316" s="283">
        <f ca="1" t="shared" si="111"/>
        <v>116.329264631679</v>
      </c>
      <c r="H316" s="279">
        <f ca="1" t="shared" si="112"/>
        <v>0.247652645964081</v>
      </c>
      <c r="I316" s="269">
        <f ca="1">SUM($J$125:J316)/SUM($H$125:H316)</f>
        <v>0.579065632203052</v>
      </c>
      <c r="J316" s="284">
        <f t="shared" si="118"/>
        <v>0.110162570827377</v>
      </c>
      <c r="K316" s="19">
        <f t="shared" si="120"/>
        <v>20200</v>
      </c>
      <c r="L316" s="269">
        <f t="shared" si="113"/>
        <v>2.00999999999998</v>
      </c>
      <c r="M316" s="226">
        <f ca="1" t="shared" si="114"/>
        <v>28.512</v>
      </c>
      <c r="N316" s="280">
        <f ca="1" t="shared" si="119"/>
        <v>0.137490075136718</v>
      </c>
      <c r="O316" s="226">
        <f t="shared" si="123"/>
        <v>13.2</v>
      </c>
      <c r="P316" s="19">
        <f ca="1" t="shared" si="126"/>
        <v>12.6</v>
      </c>
      <c r="Q316" s="226">
        <f ca="1" t="shared" si="122"/>
        <v>2.16</v>
      </c>
      <c r="R316" s="269">
        <f ca="1" t="shared" ref="R316:R379" si="133">S316/$E$115</f>
        <v>0.543276276269955</v>
      </c>
      <c r="S316" s="266">
        <f ca="1" t="shared" ref="S316:S379" si="134">LOG(T316,1.07)</f>
        <v>51.0380271473983</v>
      </c>
      <c r="T316" s="226">
        <f ca="1">(1+OFFSET('玩法产出(新)'!$C$18,MATCH(X316,'玩法产出(新)'!$B$19:$B$25,0),1)*(1-V316)+OFFSET('玩法产出(新)'!$C$18,1+MATCH(X316,'玩法产出(新)'!$B$19:$B$25,0),1)*(V316))^AA316*(1+OFFSET('玩法产出(新)'!$C$18,MATCH(X316,'玩法产出(新)'!$B$19:$B$25,0),3)*(1-V316)+OFFSET('玩法产出(新)'!$C$18,1+MATCH(X316,'玩法产出(新)'!$B$19:$B$25,0),3)*(V316))^AB316*(1+OFFSET('玩法产出(新)'!$C$18,MATCH(X316,'玩法产出(新)'!$B$19:$B$25,0),4)*(1-V316)+OFFSET('玩法产出(新)'!$C$18,1+MATCH(X316,'玩法产出(新)'!$B$19:$B$25,0),4)*(V316))^AC316*(1+OFFSET('玩法产出(新)'!$C$18,MATCH(X316,'玩法产出(新)'!$B$19:$B$25,0),5)*(1+V316)+OFFSET('玩法产出(新)'!$C$18,1+MATCH(X316,'玩法产出(新)'!$B$19:$B$25,5),1)*(V316))^AD316*(1+OFFSET('玩法产出(新)'!$C$18,MATCH(X316,'玩法产出(新)'!$B$19:$B$25,0),6)*(1+V316)+OFFSET('玩法产出(新)'!$C$18,1+MATCH(X316,'玩法产出(新)'!$B$19:$B$25,0),6)*(V316))^AE316</f>
        <v>31.6002154169854</v>
      </c>
      <c r="U316" s="226">
        <f ca="1" t="shared" si="115"/>
        <v>0.146070801439376</v>
      </c>
      <c r="V316" s="226">
        <f ca="1">COUNTIF($X$124:$X316,X316)/(COUNTIF($X$124:$X$723,X316)+1)</f>
        <v>0.158762886597938</v>
      </c>
      <c r="W316" s="19">
        <v>30</v>
      </c>
      <c r="X316" s="19" t="s">
        <v>326</v>
      </c>
      <c r="Y316" s="19">
        <f t="shared" si="121"/>
        <v>20460</v>
      </c>
      <c r="Z316" s="19">
        <f ca="1" t="shared" ref="Z316:Z379" si="135">(_xlfn.XLOOKUP(X316,$W$110:$W$115,$X$110:$X$115)+V316*_xlfn.XLOOKUP(X316,$W$110:$W$115,$Y$110:$Y$115))*MIN(AA316/2,6)</f>
        <v>1.51738823359106</v>
      </c>
      <c r="AA316" s="282">
        <f ca="1" t="shared" ref="AA316:AA379" si="136">MAX(W316-SUM(AB316:AE316),0)</f>
        <v>9.12163229166666</v>
      </c>
      <c r="AB316" s="282">
        <f ca="1" t="shared" ref="AB316:AB379" si="137">MIN(1+($Y316*$P$116+120*$C316)/OFFSET($G$101,MATCH(AB$123,$AB$123:$AE$123),0),18)</f>
        <v>15.4255208333333</v>
      </c>
      <c r="AC316" s="282">
        <f ca="1" t="shared" ref="AC316:AC379" si="138">MIN(($Y316*$P$116+120*$C316)/OFFSET($G$101,MATCH(AC$123,$AB$123:$AE$123),0),12)</f>
        <v>4.15455</v>
      </c>
      <c r="AD316" s="282">
        <f ca="1" t="shared" ref="AD316:AD379" si="139">IF(MATCH($X316,$L$112:$L$118,0)&gt;=4,($Y316*$P$116+120*$C316)/OFFSET($G$101,MATCH(AD$123,$AB$123:$AE$123),0),0)</f>
        <v>1.0386375</v>
      </c>
      <c r="AE316" s="282">
        <f ca="1" t="shared" ref="AE316:AE379" si="140">IF(MATCH($X316,$L$112:$L$118,0)&gt;=4,($Y316*$P$116+120*$C316)/OFFSET($G$101,MATCH(AE$123,$AB$123:$AE$123),0),0)</f>
        <v>0.259659375</v>
      </c>
      <c r="AF316" s="19" t="str">
        <f t="shared" ref="AF316:AF379" si="141">_xlfn.XLOOKUP(O316,$D$77:$D$95,$F$77:$F$95)</f>
        <v>粉2</v>
      </c>
      <c r="AG316" s="19">
        <f>IFERROR(_xlfn.XLOOKUP(C316+1,[2]基因升级!$E$141:$E$500,[2]基因升级!$D$141:$D$500)-1,AG315)</f>
        <v>88</v>
      </c>
      <c r="AH316" s="19">
        <v>7</v>
      </c>
      <c r="AI316" s="19">
        <f t="shared" ref="AI316:AI379" si="142">LOG(AK316,1.07)</f>
        <v>9.2039189417803</v>
      </c>
      <c r="AJ316" s="19">
        <f t="shared" si="116"/>
        <v>0</v>
      </c>
      <c r="AK316" s="269">
        <v>1.864</v>
      </c>
      <c r="AL316" s="287">
        <f t="shared" si="124"/>
        <v>9.35999999999997</v>
      </c>
      <c r="AM316" s="287">
        <f t="shared" si="125"/>
        <v>5.76</v>
      </c>
      <c r="AN316" s="293"/>
      <c r="AQ316" s="19">
        <f t="shared" ref="AQ316:AQ379" si="143">1.07^AL316</f>
        <v>1.88378857725226</v>
      </c>
      <c r="AR316" s="19">
        <f t="shared" ref="AR316:AR379" si="144">1.07^AM316</f>
        <v>1.47655816492097</v>
      </c>
      <c r="AS316" s="19">
        <f t="shared" ref="AS316:AS379" si="145">1.07^AN316</f>
        <v>1</v>
      </c>
      <c r="AT316" s="19">
        <f t="shared" ref="AT316:AT379" si="146">1.07^AO316</f>
        <v>1</v>
      </c>
      <c r="AU316" s="19">
        <f t="shared" ref="AU316:AU379" si="147">1.07^AP316</f>
        <v>1</v>
      </c>
      <c r="AV316" s="232">
        <f t="shared" si="127"/>
        <v>0.0399999999999991</v>
      </c>
      <c r="AW316" s="232">
        <f t="shared" si="128"/>
        <v>0.04</v>
      </c>
      <c r="AX316" s="232">
        <f t="shared" si="129"/>
        <v>0</v>
      </c>
      <c r="AY316" s="232">
        <f t="shared" si="130"/>
        <v>0</v>
      </c>
      <c r="AZ316" s="232">
        <f t="shared" si="131"/>
        <v>0</v>
      </c>
    </row>
    <row r="317" spans="1:52">
      <c r="A317" s="269"/>
      <c r="C317" s="19">
        <v>194</v>
      </c>
      <c r="D317" s="86">
        <f ca="1" t="shared" si="117"/>
        <v>170.942747044199</v>
      </c>
      <c r="E317" s="251">
        <f ca="1" t="shared" si="132"/>
        <v>0.392202909741975</v>
      </c>
      <c r="F317" s="269">
        <f ca="1" t="shared" ref="F317:F380" si="148">G317/E317</f>
        <v>297.231849865895</v>
      </c>
      <c r="G317" s="283">
        <f ca="1" t="shared" ref="G317:G380" si="149">LOG((K317*O317*L317*Q317)/($K$124*$O$124*$L$124*$Q$124),1.07)+$G$124</f>
        <v>116.575196385394</v>
      </c>
      <c r="H317" s="279">
        <f ca="1" t="shared" ref="H317:H380" si="150">G317-G316</f>
        <v>0.24593175371524</v>
      </c>
      <c r="I317" s="269">
        <f ca="1">SUM($J$125:J317)/SUM($H$125:H317)</f>
        <v>0.578758790261233</v>
      </c>
      <c r="J317" s="284">
        <f t="shared" si="118"/>
        <v>0.109708886235246</v>
      </c>
      <c r="K317" s="19">
        <f t="shared" si="120"/>
        <v>20300</v>
      </c>
      <c r="L317" s="269">
        <f t="shared" ref="L317:L380" si="151">L316+0.5%</f>
        <v>2.01499999999998</v>
      </c>
      <c r="M317" s="226">
        <f ca="1" t="shared" ref="M317:M380" si="152">O317*Q317</f>
        <v>28.776</v>
      </c>
      <c r="N317" s="280">
        <f ca="1" t="shared" si="119"/>
        <v>0.136222867479987</v>
      </c>
      <c r="O317" s="226">
        <f t="shared" si="123"/>
        <v>13.2</v>
      </c>
      <c r="P317" s="19">
        <f ca="1" t="shared" si="126"/>
        <v>12.8</v>
      </c>
      <c r="Q317" s="226">
        <f ca="1" t="shared" si="122"/>
        <v>2.18</v>
      </c>
      <c r="R317" s="269">
        <f ca="1" t="shared" si="133"/>
        <v>0.544833265311527</v>
      </c>
      <c r="S317" s="266">
        <f ca="1" t="shared" si="134"/>
        <v>51.184298303425</v>
      </c>
      <c r="T317" s="226">
        <f ca="1">(1+OFFSET('玩法产出(新)'!$C$18,MATCH(X317,'玩法产出(新)'!$B$19:$B$25,0),1)*(1-V317)+OFFSET('玩法产出(新)'!$C$18,1+MATCH(X317,'玩法产出(新)'!$B$19:$B$25,0),1)*(V317))^AA317*(1+OFFSET('玩法产出(新)'!$C$18,MATCH(X317,'玩法产出(新)'!$B$19:$B$25,0),3)*(1-V317)+OFFSET('玩法产出(新)'!$C$18,1+MATCH(X317,'玩法产出(新)'!$B$19:$B$25,0),3)*(V317))^AB317*(1+OFFSET('玩法产出(新)'!$C$18,MATCH(X317,'玩法产出(新)'!$B$19:$B$25,0),4)*(1-V317)+OFFSET('玩法产出(新)'!$C$18,1+MATCH(X317,'玩法产出(新)'!$B$19:$B$25,0),4)*(V317))^AC317*(1+OFFSET('玩法产出(新)'!$C$18,MATCH(X317,'玩法产出(新)'!$B$19:$B$25,0),5)*(1+V317)+OFFSET('玩法产出(新)'!$C$18,1+MATCH(X317,'玩法产出(新)'!$B$19:$B$25,5),1)*(V317))^AD317*(1+OFFSET('玩法产出(新)'!$C$18,MATCH(X317,'玩法产出(新)'!$B$19:$B$25,0),6)*(1+V317)+OFFSET('玩法产出(新)'!$C$18,1+MATCH(X317,'玩法产出(新)'!$B$19:$B$25,0),6)*(V317))^AE317</f>
        <v>31.9144998187084</v>
      </c>
      <c r="U317" s="226">
        <f ca="1" t="shared" ref="U317:U380" si="153">LOG(T317/T316,1.07)</f>
        <v>0.146271156026743</v>
      </c>
      <c r="V317" s="226">
        <f ca="1">COUNTIF($X$124:$X317,X317)/(COUNTIF($X$124:$X$723,X317)+1)</f>
        <v>0.160824742268041</v>
      </c>
      <c r="W317" s="19">
        <v>30</v>
      </c>
      <c r="X317" s="19" t="s">
        <v>326</v>
      </c>
      <c r="Y317" s="19">
        <f t="shared" si="121"/>
        <v>20560</v>
      </c>
      <c r="Z317" s="19">
        <f ca="1" t="shared" si="135"/>
        <v>1.50153693539519</v>
      </c>
      <c r="AA317" s="282">
        <f ca="1" t="shared" si="136"/>
        <v>9.02187083333333</v>
      </c>
      <c r="AB317" s="282">
        <f ca="1" t="shared" si="137"/>
        <v>15.4979166666667</v>
      </c>
      <c r="AC317" s="282">
        <f ca="1" t="shared" si="138"/>
        <v>4.1754</v>
      </c>
      <c r="AD317" s="282">
        <f ca="1" t="shared" si="139"/>
        <v>1.04385</v>
      </c>
      <c r="AE317" s="282">
        <f ca="1" t="shared" si="140"/>
        <v>0.2609625</v>
      </c>
      <c r="AF317" s="19" t="str">
        <f t="shared" si="141"/>
        <v>粉2</v>
      </c>
      <c r="AG317" s="19">
        <f>IFERROR(_xlfn.XLOOKUP(C317+1,[2]基因升级!$E$141:$E$500,[2]基因升级!$D$141:$D$500)-1,AG316)</f>
        <v>88</v>
      </c>
      <c r="AH317" s="19">
        <v>7</v>
      </c>
      <c r="AI317" s="19">
        <f t="shared" si="142"/>
        <v>9.2039189417803</v>
      </c>
      <c r="AJ317" s="19">
        <f t="shared" ref="AJ317:AJ380" si="154">AI317-AI316</f>
        <v>0</v>
      </c>
      <c r="AK317" s="269">
        <v>1.864</v>
      </c>
      <c r="AL317" s="287">
        <f t="shared" si="124"/>
        <v>9.39999999999997</v>
      </c>
      <c r="AM317" s="287">
        <f t="shared" si="125"/>
        <v>5.8</v>
      </c>
      <c r="AN317" s="293"/>
      <c r="AQ317" s="19">
        <f t="shared" si="143"/>
        <v>1.88889366577</v>
      </c>
      <c r="AR317" s="19">
        <f t="shared" si="144"/>
        <v>1.48055965437925</v>
      </c>
      <c r="AS317" s="19">
        <f t="shared" si="145"/>
        <v>1</v>
      </c>
      <c r="AT317" s="19">
        <f t="shared" si="146"/>
        <v>1</v>
      </c>
      <c r="AU317" s="19">
        <f t="shared" si="147"/>
        <v>1</v>
      </c>
      <c r="AV317" s="232">
        <f t="shared" si="127"/>
        <v>0.0399999999999991</v>
      </c>
      <c r="AW317" s="232">
        <f t="shared" si="128"/>
        <v>0.04</v>
      </c>
      <c r="AX317" s="232">
        <f t="shared" si="129"/>
        <v>0</v>
      </c>
      <c r="AY317" s="232">
        <f t="shared" si="130"/>
        <v>0</v>
      </c>
      <c r="AZ317" s="232">
        <f t="shared" si="131"/>
        <v>0</v>
      </c>
    </row>
    <row r="318" spans="1:52">
      <c r="A318" s="269"/>
      <c r="C318" s="19">
        <v>195</v>
      </c>
      <c r="D318" s="86">
        <f ca="1" t="shared" ref="D318:D381" si="155">D317+E318</f>
        <v>171.333456472245</v>
      </c>
      <c r="E318" s="251">
        <f ca="1" t="shared" si="132"/>
        <v>0.390709428045166</v>
      </c>
      <c r="F318" s="269">
        <f ca="1" t="shared" si="148"/>
        <v>298.993128961547</v>
      </c>
      <c r="G318" s="283">
        <f ca="1" t="shared" si="149"/>
        <v>116.819434406001</v>
      </c>
      <c r="H318" s="279">
        <f ca="1" t="shared" si="150"/>
        <v>0.244238020606701</v>
      </c>
      <c r="I318" s="269">
        <f ca="1">SUM($J$125:J318)/SUM($H$125:H318)</f>
        <v>0.578458323529036</v>
      </c>
      <c r="J318" s="284">
        <f t="shared" ref="J318:J381" si="156">LOG(K318*L318/$K$124/$L$124,1.07)-LOG(K317*L317/$K$124/$L$124,1.07)</f>
        <v>0.109259214951024</v>
      </c>
      <c r="K318" s="19">
        <f t="shared" si="120"/>
        <v>20400</v>
      </c>
      <c r="L318" s="269">
        <f t="shared" si="151"/>
        <v>2.01999999999998</v>
      </c>
      <c r="M318" s="226">
        <f ca="1" t="shared" si="152"/>
        <v>29.04</v>
      </c>
      <c r="N318" s="280">
        <f ca="1" t="shared" ref="N318:N381" si="157">LOG(O318*Q318/($O$124*$Q$124),1.07)-LOG(O317*Q317/($O$124*$Q$124),1.07)</f>
        <v>0.134978805655678</v>
      </c>
      <c r="O318" s="226">
        <f t="shared" si="123"/>
        <v>13.2</v>
      </c>
      <c r="P318" s="19">
        <f ca="1" t="shared" si="126"/>
        <v>13</v>
      </c>
      <c r="Q318" s="226">
        <f ca="1" t="shared" si="122"/>
        <v>2.2</v>
      </c>
      <c r="R318" s="269">
        <f ca="1" t="shared" si="133"/>
        <v>0.546392385937083</v>
      </c>
      <c r="S318" s="266">
        <f ca="1" t="shared" si="134"/>
        <v>51.3307697108635</v>
      </c>
      <c r="T318" s="226">
        <f ca="1">(1+OFFSET('玩法产出(新)'!$C$18,MATCH(X318,'玩法产出(新)'!$B$19:$B$25,0),1)*(1-V318)+OFFSET('玩法产出(新)'!$C$18,1+MATCH(X318,'玩法产出(新)'!$B$19:$B$25,0),1)*(V318))^AA318*(1+OFFSET('玩法产出(新)'!$C$18,MATCH(X318,'玩法产出(新)'!$B$19:$B$25,0),3)*(1-V318)+OFFSET('玩法产出(新)'!$C$18,1+MATCH(X318,'玩法产出(新)'!$B$19:$B$25,0),3)*(V318))^AB318*(1+OFFSET('玩法产出(新)'!$C$18,MATCH(X318,'玩法产出(新)'!$B$19:$B$25,0),4)*(1-V318)+OFFSET('玩法产出(新)'!$C$18,1+MATCH(X318,'玩法产出(新)'!$B$19:$B$25,0),4)*(V318))^AC318*(1+OFFSET('玩法产出(新)'!$C$18,MATCH(X318,'玩法产出(新)'!$B$19:$B$25,0),5)*(1+V318)+OFFSET('玩法产出(新)'!$C$18,1+MATCH(X318,'玩法产出(新)'!$B$19:$B$25,5),1)*(V318))^AD318*(1+OFFSET('玩法产出(新)'!$C$18,MATCH(X318,'玩法产出(新)'!$B$19:$B$25,0),6)*(1+V318)+OFFSET('玩法产出(新)'!$C$18,1+MATCH(X318,'玩法产出(新)'!$B$19:$B$25,0),6)*(V318))^AE318</f>
        <v>32.2323466850215</v>
      </c>
      <c r="U318" s="226">
        <f ca="1" t="shared" si="153"/>
        <v>0.146471407438465</v>
      </c>
      <c r="V318" s="226">
        <f ca="1">COUNTIF($X$124:$X318,X318)/(COUNTIF($X$124:$X$723,X318)+1)</f>
        <v>0.162886597938144</v>
      </c>
      <c r="W318" s="19">
        <v>30</v>
      </c>
      <c r="X318" s="19" t="s">
        <v>326</v>
      </c>
      <c r="Y318" s="19">
        <f t="shared" si="121"/>
        <v>20660</v>
      </c>
      <c r="Z318" s="19">
        <f ca="1" t="shared" si="135"/>
        <v>1.48566918170103</v>
      </c>
      <c r="AA318" s="282">
        <f ca="1" t="shared" si="136"/>
        <v>8.922109375</v>
      </c>
      <c r="AB318" s="282">
        <f ca="1" t="shared" si="137"/>
        <v>15.5703125</v>
      </c>
      <c r="AC318" s="282">
        <f ca="1" t="shared" si="138"/>
        <v>4.19625</v>
      </c>
      <c r="AD318" s="282">
        <f ca="1" t="shared" si="139"/>
        <v>1.0490625</v>
      </c>
      <c r="AE318" s="282">
        <f ca="1" t="shared" si="140"/>
        <v>0.262265625</v>
      </c>
      <c r="AF318" s="19" t="str">
        <f t="shared" si="141"/>
        <v>粉2</v>
      </c>
      <c r="AG318" s="19">
        <f>IFERROR(_xlfn.XLOOKUP(C318+1,[2]基因升级!$E$141:$E$500,[2]基因升级!$D$141:$D$500)-1,AG317)</f>
        <v>88</v>
      </c>
      <c r="AH318" s="19">
        <v>7</v>
      </c>
      <c r="AI318" s="19">
        <f t="shared" si="142"/>
        <v>9.2039189417803</v>
      </c>
      <c r="AJ318" s="19">
        <f t="shared" si="154"/>
        <v>0</v>
      </c>
      <c r="AK318" s="269">
        <v>1.864</v>
      </c>
      <c r="AL318" s="287">
        <f t="shared" si="124"/>
        <v>9.43999999999997</v>
      </c>
      <c r="AM318" s="287">
        <f t="shared" si="125"/>
        <v>5.84</v>
      </c>
      <c r="AN318" s="293"/>
      <c r="AQ318" s="19">
        <f t="shared" si="143"/>
        <v>1.89401258913582</v>
      </c>
      <c r="AR318" s="19">
        <f t="shared" si="144"/>
        <v>1.48457198791959</v>
      </c>
      <c r="AS318" s="19">
        <f t="shared" si="145"/>
        <v>1</v>
      </c>
      <c r="AT318" s="19">
        <f t="shared" si="146"/>
        <v>1</v>
      </c>
      <c r="AU318" s="19">
        <f t="shared" si="147"/>
        <v>1</v>
      </c>
      <c r="AV318" s="232">
        <f t="shared" si="127"/>
        <v>0.0399999999999991</v>
      </c>
      <c r="AW318" s="232">
        <f t="shared" si="128"/>
        <v>0.04</v>
      </c>
      <c r="AX318" s="232">
        <f t="shared" si="129"/>
        <v>0</v>
      </c>
      <c r="AY318" s="232">
        <f t="shared" si="130"/>
        <v>0</v>
      </c>
      <c r="AZ318" s="232">
        <f t="shared" si="131"/>
        <v>0</v>
      </c>
    </row>
    <row r="319" spans="1:52">
      <c r="A319" s="269"/>
      <c r="C319" s="19">
        <v>196</v>
      </c>
      <c r="D319" s="86">
        <f ca="1" t="shared" si="155"/>
        <v>171.722698790699</v>
      </c>
      <c r="E319" s="251">
        <f ca="1" t="shared" si="132"/>
        <v>0.389242318454103</v>
      </c>
      <c r="F319" s="269">
        <f ca="1" t="shared" si="148"/>
        <v>300.743263562808</v>
      </c>
      <c r="G319" s="283">
        <f ca="1" t="shared" si="149"/>
        <v>117.062005168641</v>
      </c>
      <c r="H319" s="279">
        <f ca="1" t="shared" si="150"/>
        <v>0.242570762640199</v>
      </c>
      <c r="I319" s="269">
        <f ca="1">SUM($J$125:J319)/SUM($H$125:H319)</f>
        <v>0.578164068108946</v>
      </c>
      <c r="J319" s="284">
        <f t="shared" si="156"/>
        <v>0.10881350138748</v>
      </c>
      <c r="K319" s="19">
        <f t="shared" si="120"/>
        <v>20500</v>
      </c>
      <c r="L319" s="269">
        <f t="shared" si="151"/>
        <v>2.02499999999998</v>
      </c>
      <c r="M319" s="226">
        <f ca="1" t="shared" si="152"/>
        <v>29.304</v>
      </c>
      <c r="N319" s="280">
        <f ca="1" t="shared" si="157"/>
        <v>0.133757261252718</v>
      </c>
      <c r="O319" s="226">
        <f t="shared" si="123"/>
        <v>13.2</v>
      </c>
      <c r="P319" s="19">
        <f ca="1" t="shared" si="126"/>
        <v>13.2</v>
      </c>
      <c r="Q319" s="226">
        <f ca="1" t="shared" si="122"/>
        <v>2.22</v>
      </c>
      <c r="R319" s="269">
        <f ca="1" t="shared" si="133"/>
        <v>0.547953637049849</v>
      </c>
      <c r="S319" s="266">
        <f ca="1" t="shared" si="134"/>
        <v>51.4774412666774</v>
      </c>
      <c r="T319" s="226">
        <f ca="1">(1+OFFSET('玩法产出(新)'!$C$18,MATCH(X319,'玩法产出(新)'!$B$19:$B$25,0),1)*(1-V319)+OFFSET('玩法产出(新)'!$C$18,1+MATCH(X319,'玩法产出(新)'!$B$19:$B$25,0),1)*(V319))^AA319*(1+OFFSET('玩法产出(新)'!$C$18,MATCH(X319,'玩法产出(新)'!$B$19:$B$25,0),3)*(1-V319)+OFFSET('玩法产出(新)'!$C$18,1+MATCH(X319,'玩法产出(新)'!$B$19:$B$25,0),3)*(V319))^AB319*(1+OFFSET('玩法产出(新)'!$C$18,MATCH(X319,'玩法产出(新)'!$B$19:$B$25,0),4)*(1-V319)+OFFSET('玩法产出(新)'!$C$18,1+MATCH(X319,'玩法产出(新)'!$B$19:$B$25,0),4)*(V319))^AC319*(1+OFFSET('玩法产出(新)'!$C$18,MATCH(X319,'玩法产出(新)'!$B$19:$B$25,0),5)*(1+V319)+OFFSET('玩法产出(新)'!$C$18,1+MATCH(X319,'玩法产出(新)'!$B$19:$B$25,5),1)*(V319))^AD319*(1+OFFSET('玩法产出(新)'!$C$18,MATCH(X319,'玩法产出(新)'!$B$19:$B$25,0),6)*(1+V319)+OFFSET('玩法产出(新)'!$C$18,1+MATCH(X319,'玩法产出(新)'!$B$19:$B$25,0),6)*(V319))^AE319</f>
        <v>32.5537999245209</v>
      </c>
      <c r="U319" s="226">
        <f ca="1" t="shared" si="153"/>
        <v>0.146671555813905</v>
      </c>
      <c r="V319" s="226">
        <f ca="1">COUNTIF($X$124:$X319,X319)/(COUNTIF($X$124:$X$723,X319)+1)</f>
        <v>0.164948453608247</v>
      </c>
      <c r="W319" s="19">
        <v>30</v>
      </c>
      <c r="X319" s="19" t="s">
        <v>326</v>
      </c>
      <c r="Y319" s="19">
        <f t="shared" si="121"/>
        <v>20760</v>
      </c>
      <c r="Z319" s="19">
        <f ca="1" t="shared" si="135"/>
        <v>1.46978497250859</v>
      </c>
      <c r="AA319" s="282">
        <f ca="1" t="shared" si="136"/>
        <v>8.82234791666666</v>
      </c>
      <c r="AB319" s="282">
        <f ca="1" t="shared" si="137"/>
        <v>15.6427083333333</v>
      </c>
      <c r="AC319" s="282">
        <f ca="1" t="shared" si="138"/>
        <v>4.2171</v>
      </c>
      <c r="AD319" s="282">
        <f ca="1" t="shared" si="139"/>
        <v>1.054275</v>
      </c>
      <c r="AE319" s="282">
        <f ca="1" t="shared" si="140"/>
        <v>0.26356875</v>
      </c>
      <c r="AF319" s="19" t="str">
        <f t="shared" si="141"/>
        <v>粉2</v>
      </c>
      <c r="AG319" s="19">
        <f>IFERROR(_xlfn.XLOOKUP(C319+1,[2]基因升级!$E$141:$E$500,[2]基因升级!$D$141:$D$500)-1,AG318)</f>
        <v>88</v>
      </c>
      <c r="AH319" s="19">
        <v>7</v>
      </c>
      <c r="AI319" s="19">
        <f t="shared" si="142"/>
        <v>9.2039189417803</v>
      </c>
      <c r="AJ319" s="19">
        <f t="shared" si="154"/>
        <v>0</v>
      </c>
      <c r="AK319" s="269">
        <v>1.864</v>
      </c>
      <c r="AL319" s="287">
        <f t="shared" si="124"/>
        <v>9.47999999999997</v>
      </c>
      <c r="AM319" s="287">
        <f t="shared" si="125"/>
        <v>5.88</v>
      </c>
      <c r="AN319" s="293"/>
      <c r="AQ319" s="19">
        <f t="shared" si="143"/>
        <v>1.89914538484231</v>
      </c>
      <c r="AR319" s="19">
        <f t="shared" si="144"/>
        <v>1.48859519492955</v>
      </c>
      <c r="AS319" s="19">
        <f t="shared" si="145"/>
        <v>1</v>
      </c>
      <c r="AT319" s="19">
        <f t="shared" si="146"/>
        <v>1</v>
      </c>
      <c r="AU319" s="19">
        <f t="shared" si="147"/>
        <v>1</v>
      </c>
      <c r="AV319" s="232">
        <f t="shared" si="127"/>
        <v>0.0399999999999991</v>
      </c>
      <c r="AW319" s="232">
        <f t="shared" si="128"/>
        <v>0.04</v>
      </c>
      <c r="AX319" s="232">
        <f t="shared" si="129"/>
        <v>0</v>
      </c>
      <c r="AY319" s="232">
        <f t="shared" si="130"/>
        <v>0</v>
      </c>
      <c r="AZ319" s="232">
        <f t="shared" si="131"/>
        <v>0</v>
      </c>
    </row>
    <row r="320" spans="1:52">
      <c r="A320" s="269"/>
      <c r="C320" s="19">
        <v>197</v>
      </c>
      <c r="D320" s="86">
        <f ca="1" t="shared" si="155"/>
        <v>172.110499711403</v>
      </c>
      <c r="E320" s="251">
        <f ca="1" t="shared" si="132"/>
        <v>0.387800920704204</v>
      </c>
      <c r="F320" s="269">
        <f ca="1" t="shared" si="148"/>
        <v>302.482351705208</v>
      </c>
      <c r="G320" s="283">
        <f ca="1" t="shared" si="149"/>
        <v>117.302934488053</v>
      </c>
      <c r="H320" s="279">
        <f ca="1" t="shared" si="150"/>
        <v>0.240929319411919</v>
      </c>
      <c r="I320" s="269">
        <f ca="1">SUM($J$125:J320)/SUM($H$125:H320)</f>
        <v>0.577875865511521</v>
      </c>
      <c r="J320" s="284">
        <f t="shared" si="156"/>
        <v>0.108371691007164</v>
      </c>
      <c r="K320" s="19">
        <f t="shared" si="120"/>
        <v>20600</v>
      </c>
      <c r="L320" s="269">
        <f t="shared" si="151"/>
        <v>2.02999999999998</v>
      </c>
      <c r="M320" s="226">
        <f ca="1" t="shared" si="152"/>
        <v>29.568</v>
      </c>
      <c r="N320" s="280">
        <f ca="1" t="shared" si="157"/>
        <v>0.132557628404761</v>
      </c>
      <c r="O320" s="226">
        <f t="shared" si="123"/>
        <v>13.2</v>
      </c>
      <c r="P320" s="19">
        <f ca="1" t="shared" si="126"/>
        <v>13.4</v>
      </c>
      <c r="Q320" s="226">
        <f ca="1" t="shared" si="122"/>
        <v>2.24</v>
      </c>
      <c r="R320" s="269">
        <f ca="1" t="shared" si="133"/>
        <v>0.549517017554535</v>
      </c>
      <c r="S320" s="266">
        <f ca="1" t="shared" si="134"/>
        <v>51.6243128679697</v>
      </c>
      <c r="T320" s="226">
        <f ca="1">(1+OFFSET('玩法产出(新)'!$C$18,MATCH(X320,'玩法产出(新)'!$B$19:$B$25,0),1)*(1-V320)+OFFSET('玩法产出(新)'!$C$18,1+MATCH(X320,'玩法产出(新)'!$B$19:$B$25,0),1)*(V320))^AA320*(1+OFFSET('玩法产出(新)'!$C$18,MATCH(X320,'玩法产出(新)'!$B$19:$B$25,0),3)*(1-V320)+OFFSET('玩法产出(新)'!$C$18,1+MATCH(X320,'玩法产出(新)'!$B$19:$B$25,0),3)*(V320))^AB320*(1+OFFSET('玩法产出(新)'!$C$18,MATCH(X320,'玩法产出(新)'!$B$19:$B$25,0),4)*(1-V320)+OFFSET('玩法产出(新)'!$C$18,1+MATCH(X320,'玩法产出(新)'!$B$19:$B$25,0),4)*(V320))^AC320*(1+OFFSET('玩法产出(新)'!$C$18,MATCH(X320,'玩法产出(新)'!$B$19:$B$25,0),5)*(1+V320)+OFFSET('玩法产出(新)'!$C$18,1+MATCH(X320,'玩法产出(新)'!$B$19:$B$25,5),1)*(V320))^AD320*(1+OFFSET('玩法产出(新)'!$C$18,MATCH(X320,'玩法产出(新)'!$B$19:$B$25,0),6)*(1+V320)+OFFSET('玩法产出(新)'!$C$18,1+MATCH(X320,'玩法产出(新)'!$B$19:$B$25,0),6)*(V320))^AE320</f>
        <v>32.8789040242357</v>
      </c>
      <c r="U320" s="226">
        <f ca="1" t="shared" si="153"/>
        <v>0.146871601292279</v>
      </c>
      <c r="V320" s="226">
        <f ca="1">COUNTIF($X$124:$X320,X320)/(COUNTIF($X$124:$X$723,X320)+1)</f>
        <v>0.167010309278351</v>
      </c>
      <c r="W320" s="19">
        <v>30</v>
      </c>
      <c r="X320" s="19" t="s">
        <v>326</v>
      </c>
      <c r="Y320" s="19">
        <f t="shared" si="121"/>
        <v>20860</v>
      </c>
      <c r="Z320" s="19">
        <f ca="1" t="shared" si="135"/>
        <v>1.45388430781787</v>
      </c>
      <c r="AA320" s="282">
        <f ca="1" t="shared" si="136"/>
        <v>8.72258645833333</v>
      </c>
      <c r="AB320" s="282">
        <f ca="1" t="shared" si="137"/>
        <v>15.7151041666667</v>
      </c>
      <c r="AC320" s="282">
        <f ca="1" t="shared" si="138"/>
        <v>4.23795</v>
      </c>
      <c r="AD320" s="282">
        <f ca="1" t="shared" si="139"/>
        <v>1.0594875</v>
      </c>
      <c r="AE320" s="282">
        <f ca="1" t="shared" si="140"/>
        <v>0.264871875</v>
      </c>
      <c r="AF320" s="19" t="str">
        <f t="shared" si="141"/>
        <v>粉2</v>
      </c>
      <c r="AG320" s="19">
        <f>IFERROR(_xlfn.XLOOKUP(C320+1,[2]基因升级!$E$141:$E$500,[2]基因升级!$D$141:$D$500)-1,AG319)</f>
        <v>88</v>
      </c>
      <c r="AH320" s="19">
        <v>7</v>
      </c>
      <c r="AI320" s="19">
        <f t="shared" si="142"/>
        <v>9.2039189417803</v>
      </c>
      <c r="AJ320" s="19">
        <f t="shared" si="154"/>
        <v>0</v>
      </c>
      <c r="AK320" s="269">
        <v>1.864</v>
      </c>
      <c r="AL320" s="287">
        <f t="shared" si="124"/>
        <v>9.51999999999997</v>
      </c>
      <c r="AM320" s="287">
        <f t="shared" si="125"/>
        <v>5.92</v>
      </c>
      <c r="AN320" s="293"/>
      <c r="AQ320" s="19">
        <f t="shared" si="143"/>
        <v>1.90429209048368</v>
      </c>
      <c r="AR320" s="19">
        <f t="shared" si="144"/>
        <v>1.49262930487638</v>
      </c>
      <c r="AS320" s="19">
        <f t="shared" si="145"/>
        <v>1</v>
      </c>
      <c r="AT320" s="19">
        <f t="shared" si="146"/>
        <v>1</v>
      </c>
      <c r="AU320" s="19">
        <f t="shared" si="147"/>
        <v>1</v>
      </c>
      <c r="AV320" s="232">
        <f t="shared" si="127"/>
        <v>0.0399999999999991</v>
      </c>
      <c r="AW320" s="232">
        <f t="shared" si="128"/>
        <v>0.04</v>
      </c>
      <c r="AX320" s="232">
        <f t="shared" si="129"/>
        <v>0</v>
      </c>
      <c r="AY320" s="232">
        <f t="shared" si="130"/>
        <v>0</v>
      </c>
      <c r="AZ320" s="232">
        <f t="shared" si="131"/>
        <v>0</v>
      </c>
    </row>
    <row r="321" spans="1:52">
      <c r="A321" s="269"/>
      <c r="C321" s="19">
        <v>198</v>
      </c>
      <c r="D321" s="86">
        <f ca="1" t="shared" si="155"/>
        <v>172.4968843085</v>
      </c>
      <c r="E321" s="251">
        <f ca="1" t="shared" si="132"/>
        <v>0.38638459709749</v>
      </c>
      <c r="F321" s="269">
        <f ca="1" t="shared" si="148"/>
        <v>304.210489817948</v>
      </c>
      <c r="G321" s="283">
        <f ca="1" t="shared" si="149"/>
        <v>117.542247541138</v>
      </c>
      <c r="H321" s="279">
        <f ca="1" t="shared" si="150"/>
        <v>0.239313053085354</v>
      </c>
      <c r="I321" s="269">
        <f ca="1">SUM($J$125:J321)/SUM($H$125:H321)</f>
        <v>0.577593562434574</v>
      </c>
      <c r="J321" s="284">
        <f t="shared" si="156"/>
        <v>0.107933730297262</v>
      </c>
      <c r="K321" s="19">
        <f t="shared" si="120"/>
        <v>20700</v>
      </c>
      <c r="L321" s="269">
        <f t="shared" si="151"/>
        <v>2.03499999999998</v>
      </c>
      <c r="M321" s="226">
        <f ca="1" t="shared" si="152"/>
        <v>29.832</v>
      </c>
      <c r="N321" s="280">
        <f ca="1" t="shared" si="157"/>
        <v>0.131379322788071</v>
      </c>
      <c r="O321" s="226">
        <f t="shared" si="123"/>
        <v>13.2</v>
      </c>
      <c r="P321" s="19">
        <f ca="1" t="shared" si="126"/>
        <v>13.6</v>
      </c>
      <c r="Q321" s="226">
        <f ca="1" t="shared" si="122"/>
        <v>2.26</v>
      </c>
      <c r="R321" s="269">
        <f ca="1" t="shared" si="133"/>
        <v>0.551082526357323</v>
      </c>
      <c r="S321" s="266">
        <f ca="1" t="shared" si="134"/>
        <v>51.7713844119818</v>
      </c>
      <c r="T321" s="226">
        <f ca="1">(1+OFFSET('玩法产出(新)'!$C$18,MATCH(X321,'玩法产出(新)'!$B$19:$B$25,0),1)*(1-V321)+OFFSET('玩法产出(新)'!$C$18,1+MATCH(X321,'玩法产出(新)'!$B$19:$B$25,0),1)*(V321))^AA321*(1+OFFSET('玩法产出(新)'!$C$18,MATCH(X321,'玩法产出(新)'!$B$19:$B$25,0),3)*(1-V321)+OFFSET('玩法产出(新)'!$C$18,1+MATCH(X321,'玩法产出(新)'!$B$19:$B$25,0),3)*(V321))^AB321*(1+OFFSET('玩法产出(新)'!$C$18,MATCH(X321,'玩法产出(新)'!$B$19:$B$25,0),4)*(1-V321)+OFFSET('玩法产出(新)'!$C$18,1+MATCH(X321,'玩法产出(新)'!$B$19:$B$25,0),4)*(V321))^AC321*(1+OFFSET('玩法产出(新)'!$C$18,MATCH(X321,'玩法产出(新)'!$B$19:$B$25,0),5)*(1+V321)+OFFSET('玩法产出(新)'!$C$18,1+MATCH(X321,'玩法产出(新)'!$B$19:$B$25,5),1)*(V321))^AD321*(1+OFFSET('玩法产出(新)'!$C$18,MATCH(X321,'玩法产出(新)'!$B$19:$B$25,0),6)*(1+V321)+OFFSET('玩法产出(新)'!$C$18,1+MATCH(X321,'玩法产出(新)'!$B$19:$B$25,0),6)*(V321))^AE321</f>
        <v>33.2077040576758</v>
      </c>
      <c r="U321" s="226">
        <f ca="1" t="shared" si="153"/>
        <v>0.147071544012157</v>
      </c>
      <c r="V321" s="226">
        <f ca="1">COUNTIF($X$124:$X321,X321)/(COUNTIF($X$124:$X$723,X321)+1)</f>
        <v>0.169072164948454</v>
      </c>
      <c r="W321" s="19">
        <v>30</v>
      </c>
      <c r="X321" s="19" t="s">
        <v>326</v>
      </c>
      <c r="Y321" s="19">
        <f t="shared" si="121"/>
        <v>20960</v>
      </c>
      <c r="Z321" s="19">
        <f ca="1" t="shared" si="135"/>
        <v>1.43796718762887</v>
      </c>
      <c r="AA321" s="282">
        <f ca="1" t="shared" si="136"/>
        <v>8.622825</v>
      </c>
      <c r="AB321" s="282">
        <f ca="1" t="shared" si="137"/>
        <v>15.7875</v>
      </c>
      <c r="AC321" s="282">
        <f ca="1" t="shared" si="138"/>
        <v>4.2588</v>
      </c>
      <c r="AD321" s="282">
        <f ca="1" t="shared" si="139"/>
        <v>1.0647</v>
      </c>
      <c r="AE321" s="282">
        <f ca="1" t="shared" si="140"/>
        <v>0.266175</v>
      </c>
      <c r="AF321" s="19" t="str">
        <f t="shared" si="141"/>
        <v>粉2</v>
      </c>
      <c r="AG321" s="19">
        <f>IFERROR(_xlfn.XLOOKUP(C321+1,[2]基因升级!$E$141:$E$500,[2]基因升级!$D$141:$D$500)-1,AG320)</f>
        <v>88</v>
      </c>
      <c r="AH321" s="19">
        <v>7</v>
      </c>
      <c r="AI321" s="19">
        <f t="shared" si="142"/>
        <v>9.2039189417803</v>
      </c>
      <c r="AJ321" s="19">
        <f t="shared" si="154"/>
        <v>0</v>
      </c>
      <c r="AK321" s="269">
        <v>1.864</v>
      </c>
      <c r="AL321" s="287">
        <f t="shared" si="124"/>
        <v>9.55999999999997</v>
      </c>
      <c r="AM321" s="287">
        <f t="shared" si="125"/>
        <v>5.96</v>
      </c>
      <c r="AN321" s="293"/>
      <c r="AQ321" s="19">
        <f t="shared" si="143"/>
        <v>1.909452743756</v>
      </c>
      <c r="AR321" s="19">
        <f t="shared" si="144"/>
        <v>1.49667434730714</v>
      </c>
      <c r="AS321" s="19">
        <f t="shared" si="145"/>
        <v>1</v>
      </c>
      <c r="AT321" s="19">
        <f t="shared" si="146"/>
        <v>1</v>
      </c>
      <c r="AU321" s="19">
        <f t="shared" si="147"/>
        <v>1</v>
      </c>
      <c r="AV321" s="232">
        <f t="shared" si="127"/>
        <v>0.0399999999999991</v>
      </c>
      <c r="AW321" s="232">
        <f t="shared" si="128"/>
        <v>0.04</v>
      </c>
      <c r="AX321" s="232">
        <f t="shared" si="129"/>
        <v>0</v>
      </c>
      <c r="AY321" s="232">
        <f t="shared" si="130"/>
        <v>0</v>
      </c>
      <c r="AZ321" s="232">
        <f t="shared" si="131"/>
        <v>0</v>
      </c>
    </row>
    <row r="322" spans="1:52">
      <c r="A322" s="269"/>
      <c r="C322" s="19">
        <v>199</v>
      </c>
      <c r="D322" s="86">
        <f ca="1" t="shared" si="155"/>
        <v>172.881877040031</v>
      </c>
      <c r="E322" s="251">
        <f ca="1" t="shared" si="132"/>
        <v>0.384992731530128</v>
      </c>
      <c r="F322" s="269">
        <f ca="1" t="shared" si="148"/>
        <v>305.927772767156</v>
      </c>
      <c r="G322" s="283">
        <f ca="1" t="shared" si="149"/>
        <v>117.779968888556</v>
      </c>
      <c r="H322" s="279">
        <f ca="1" t="shared" si="150"/>
        <v>0.237721347417917</v>
      </c>
      <c r="I322" s="269">
        <f ca="1">SUM($J$125:J322)/SUM($H$125:H322)</f>
        <v>0.577317010553146</v>
      </c>
      <c r="J322" s="284">
        <f t="shared" si="156"/>
        <v>0.107499566745425</v>
      </c>
      <c r="K322" s="19">
        <f t="shared" ref="K322:K385" si="158">K321+100</f>
        <v>20800</v>
      </c>
      <c r="L322" s="269">
        <f t="shared" si="151"/>
        <v>2.03999999999998</v>
      </c>
      <c r="M322" s="226">
        <f ca="1" t="shared" si="152"/>
        <v>30.096</v>
      </c>
      <c r="N322" s="280">
        <f ca="1" t="shared" si="157"/>
        <v>0.1302217806725</v>
      </c>
      <c r="O322" s="226">
        <f t="shared" si="123"/>
        <v>13.2</v>
      </c>
      <c r="P322" s="19">
        <f ca="1" t="shared" si="126"/>
        <v>13.8</v>
      </c>
      <c r="Q322" s="226">
        <f ca="1" t="shared" si="122"/>
        <v>2.28</v>
      </c>
      <c r="R322" s="269">
        <f ca="1" t="shared" si="133"/>
        <v>0.552650162365873</v>
      </c>
      <c r="S322" s="266">
        <f ca="1" t="shared" si="134"/>
        <v>51.918655796094</v>
      </c>
      <c r="T322" s="226">
        <f ca="1">(1+OFFSET('玩法产出(新)'!$C$18,MATCH(X322,'玩法产出(新)'!$B$19:$B$25,0),1)*(1-V322)+OFFSET('玩法产出(新)'!$C$18,1+MATCH(X322,'玩法产出(新)'!$B$19:$B$25,0),1)*(V322))^AA322*(1+OFFSET('玩法产出(新)'!$C$18,MATCH(X322,'玩法产出(新)'!$B$19:$B$25,0),3)*(1-V322)+OFFSET('玩法产出(新)'!$C$18,1+MATCH(X322,'玩法产出(新)'!$B$19:$B$25,0),3)*(V322))^AB322*(1+OFFSET('玩法产出(新)'!$C$18,MATCH(X322,'玩法产出(新)'!$B$19:$B$25,0),4)*(1-V322)+OFFSET('玩法产出(新)'!$C$18,1+MATCH(X322,'玩法产出(新)'!$B$19:$B$25,0),4)*(V322))^AC322*(1+OFFSET('玩法产出(新)'!$C$18,MATCH(X322,'玩法产出(新)'!$B$19:$B$25,0),5)*(1+V322)+OFFSET('玩法产出(新)'!$C$18,1+MATCH(X322,'玩法产出(新)'!$B$19:$B$25,5),1)*(V322))^AD322*(1+OFFSET('玩法产出(新)'!$C$18,MATCH(X322,'玩法产出(新)'!$B$19:$B$25,0),6)*(1+V322)+OFFSET('玩法产出(新)'!$C$18,1+MATCH(X322,'玩法产出(新)'!$B$19:$B$25,0),6)*(V322))^AE322</f>
        <v>33.5402456929998</v>
      </c>
      <c r="U322" s="226">
        <f ca="1" t="shared" si="153"/>
        <v>0.147271384112204</v>
      </c>
      <c r="V322" s="226">
        <f ca="1">COUNTIF($X$124:$X322,X322)/(COUNTIF($X$124:$X$723,X322)+1)</f>
        <v>0.171134020618557</v>
      </c>
      <c r="W322" s="19">
        <v>30</v>
      </c>
      <c r="X322" s="19" t="s">
        <v>326</v>
      </c>
      <c r="Y322" s="19">
        <f t="shared" si="121"/>
        <v>21060</v>
      </c>
      <c r="Z322" s="19">
        <f ca="1" t="shared" si="135"/>
        <v>1.42203361194158</v>
      </c>
      <c r="AA322" s="282">
        <f ca="1" t="shared" si="136"/>
        <v>8.52306354166667</v>
      </c>
      <c r="AB322" s="282">
        <f ca="1" t="shared" si="137"/>
        <v>15.8598958333333</v>
      </c>
      <c r="AC322" s="282">
        <f ca="1" t="shared" si="138"/>
        <v>4.27965</v>
      </c>
      <c r="AD322" s="282">
        <f ca="1" t="shared" si="139"/>
        <v>1.0699125</v>
      </c>
      <c r="AE322" s="282">
        <f ca="1" t="shared" si="140"/>
        <v>0.267478125</v>
      </c>
      <c r="AF322" s="19" t="str">
        <f t="shared" si="141"/>
        <v>粉2</v>
      </c>
      <c r="AG322" s="19">
        <f>IFERROR(_xlfn.XLOOKUP(C322+1,[2]基因升级!$E$141:$E$500,[2]基因升级!$D$141:$D$500)-1,AG321)</f>
        <v>89</v>
      </c>
      <c r="AH322" s="19">
        <v>7</v>
      </c>
      <c r="AI322" s="19">
        <f t="shared" si="142"/>
        <v>9.2039189417803</v>
      </c>
      <c r="AJ322" s="19">
        <f t="shared" si="154"/>
        <v>0</v>
      </c>
      <c r="AK322" s="269">
        <v>1.864</v>
      </c>
      <c r="AL322" s="287">
        <f t="shared" si="124"/>
        <v>9.59999999999997</v>
      </c>
      <c r="AM322" s="287">
        <f t="shared" si="125"/>
        <v>6</v>
      </c>
      <c r="AN322" s="293"/>
      <c r="AQ322" s="19">
        <f t="shared" si="143"/>
        <v>1.91462738245752</v>
      </c>
      <c r="AR322" s="19">
        <f t="shared" si="144"/>
        <v>1.500730351849</v>
      </c>
      <c r="AS322" s="19">
        <f t="shared" si="145"/>
        <v>1</v>
      </c>
      <c r="AT322" s="19">
        <f t="shared" si="146"/>
        <v>1</v>
      </c>
      <c r="AU322" s="19">
        <f t="shared" si="147"/>
        <v>1</v>
      </c>
      <c r="AV322" s="232">
        <f t="shared" si="127"/>
        <v>0.0399999999999991</v>
      </c>
      <c r="AW322" s="232">
        <f t="shared" si="128"/>
        <v>0.04</v>
      </c>
      <c r="AX322" s="232">
        <f t="shared" si="129"/>
        <v>0</v>
      </c>
      <c r="AY322" s="232">
        <f t="shared" si="130"/>
        <v>0</v>
      </c>
      <c r="AZ322" s="232">
        <f t="shared" si="131"/>
        <v>0</v>
      </c>
    </row>
    <row r="323" spans="1:52">
      <c r="A323" s="269"/>
      <c r="C323" s="19">
        <v>200</v>
      </c>
      <c r="D323" s="86">
        <f ca="1" t="shared" si="155"/>
        <v>173.265501768599</v>
      </c>
      <c r="E323" s="251">
        <f ca="1" t="shared" si="132"/>
        <v>0.383624728568657</v>
      </c>
      <c r="F323" s="269">
        <f ca="1" t="shared" si="148"/>
        <v>307.634293898947</v>
      </c>
      <c r="G323" s="283">
        <f ca="1" t="shared" si="149"/>
        <v>118.016122495394</v>
      </c>
      <c r="H323" s="279">
        <f ca="1" t="shared" si="150"/>
        <v>0.236153606838187</v>
      </c>
      <c r="I323" s="269">
        <f ca="1">SUM($J$125:J323)/SUM($H$125:H323)</f>
        <v>0.577046066319646</v>
      </c>
      <c r="J323" s="284">
        <f t="shared" si="156"/>
        <v>0.107069148816009</v>
      </c>
      <c r="K323" s="19">
        <f t="shared" si="158"/>
        <v>20900</v>
      </c>
      <c r="L323" s="269">
        <f t="shared" si="151"/>
        <v>2.04499999999998</v>
      </c>
      <c r="M323" s="226">
        <f ca="1" t="shared" si="152"/>
        <v>30.36</v>
      </c>
      <c r="N323" s="280">
        <f ca="1" t="shared" si="157"/>
        <v>0.129084458022163</v>
      </c>
      <c r="O323" s="226">
        <f t="shared" si="123"/>
        <v>13.2</v>
      </c>
      <c r="P323" s="19">
        <f ca="1" t="shared" si="126"/>
        <v>14</v>
      </c>
      <c r="Q323" s="226">
        <f ca="1" t="shared" si="122"/>
        <v>2.3</v>
      </c>
      <c r="R323" s="269">
        <f ca="1" t="shared" si="133"/>
        <v>0.554219924489313</v>
      </c>
      <c r="S323" s="266">
        <f ca="1" t="shared" si="134"/>
        <v>52.0661269178245</v>
      </c>
      <c r="T323" s="226">
        <f ca="1">(1+OFFSET('玩法产出(新)'!$C$18,MATCH(X323,'玩法产出(新)'!$B$19:$B$25,0),1)*(1-V323)+OFFSET('玩法产出(新)'!$C$18,1+MATCH(X323,'玩法产出(新)'!$B$19:$B$25,0),1)*(V323))^AA323*(1+OFFSET('玩法产出(新)'!$C$18,MATCH(X323,'玩法产出(新)'!$B$19:$B$25,0),3)*(1-V323)+OFFSET('玩法产出(新)'!$C$18,1+MATCH(X323,'玩法产出(新)'!$B$19:$B$25,0),3)*(V323))^AB323*(1+OFFSET('玩法产出(新)'!$C$18,MATCH(X323,'玩法产出(新)'!$B$19:$B$25,0),4)*(1-V323)+OFFSET('玩法产出(新)'!$C$18,1+MATCH(X323,'玩法产出(新)'!$B$19:$B$25,0),4)*(V323))^AC323*(1+OFFSET('玩法产出(新)'!$C$18,MATCH(X323,'玩法产出(新)'!$B$19:$B$25,0),5)*(1+V323)+OFFSET('玩法产出(新)'!$C$18,1+MATCH(X323,'玩法产出(新)'!$B$19:$B$25,5),1)*(V323))^AD323*(1+OFFSET('玩法产出(新)'!$C$18,MATCH(X323,'玩法产出(新)'!$B$19:$B$25,0),6)*(1+V323)+OFFSET('玩法产出(新)'!$C$18,1+MATCH(X323,'玩法产出(新)'!$B$19:$B$25,0),6)*(V323))^AE323</f>
        <v>33.8765752012995</v>
      </c>
      <c r="U323" s="226">
        <f ca="1" t="shared" si="153"/>
        <v>0.147471121730485</v>
      </c>
      <c r="V323" s="226">
        <f ca="1">COUNTIF($X$124:$X323,X323)/(COUNTIF($X$124:$X$723,X323)+1)</f>
        <v>0.17319587628866</v>
      </c>
      <c r="W323" s="19">
        <v>30</v>
      </c>
      <c r="X323" s="19" t="s">
        <v>326</v>
      </c>
      <c r="Y323" s="19">
        <f t="shared" ref="Y323:Y386" si="159">Y322+100</f>
        <v>21160</v>
      </c>
      <c r="Z323" s="19">
        <f ca="1" t="shared" si="135"/>
        <v>1.40608358075601</v>
      </c>
      <c r="AA323" s="282">
        <f ca="1" t="shared" si="136"/>
        <v>8.42330208333333</v>
      </c>
      <c r="AB323" s="282">
        <f ca="1" t="shared" si="137"/>
        <v>15.9322916666667</v>
      </c>
      <c r="AC323" s="282">
        <f ca="1" t="shared" si="138"/>
        <v>4.3005</v>
      </c>
      <c r="AD323" s="282">
        <f ca="1" t="shared" si="139"/>
        <v>1.075125</v>
      </c>
      <c r="AE323" s="282">
        <f ca="1" t="shared" si="140"/>
        <v>0.26878125</v>
      </c>
      <c r="AF323" s="19" t="str">
        <f t="shared" si="141"/>
        <v>粉2</v>
      </c>
      <c r="AG323" s="19">
        <f>IFERROR(_xlfn.XLOOKUP(C323+1,[2]基因升级!$E$141:$E$500,[2]基因升级!$D$141:$D$500)-1,AG322)</f>
        <v>89</v>
      </c>
      <c r="AH323" s="19">
        <v>7</v>
      </c>
      <c r="AI323" s="19">
        <f t="shared" si="142"/>
        <v>9.2039189417803</v>
      </c>
      <c r="AJ323" s="19">
        <f t="shared" si="154"/>
        <v>0</v>
      </c>
      <c r="AK323" s="269">
        <v>1.864</v>
      </c>
      <c r="AL323" s="287">
        <f t="shared" si="124"/>
        <v>9.63999999999997</v>
      </c>
      <c r="AM323" s="287">
        <f t="shared" si="125"/>
        <v>6.04</v>
      </c>
      <c r="AN323" s="293"/>
      <c r="AQ323" s="19">
        <f t="shared" si="143"/>
        <v>1.9198160444889</v>
      </c>
      <c r="AR323" s="19">
        <f t="shared" si="144"/>
        <v>1.5047973482094</v>
      </c>
      <c r="AS323" s="19">
        <f t="shared" si="145"/>
        <v>1</v>
      </c>
      <c r="AT323" s="19">
        <f t="shared" si="146"/>
        <v>1</v>
      </c>
      <c r="AU323" s="19">
        <f t="shared" si="147"/>
        <v>1</v>
      </c>
      <c r="AV323" s="232">
        <f t="shared" si="127"/>
        <v>0.0399999999999991</v>
      </c>
      <c r="AW323" s="232">
        <f t="shared" si="128"/>
        <v>0.04</v>
      </c>
      <c r="AX323" s="232">
        <f t="shared" si="129"/>
        <v>0</v>
      </c>
      <c r="AY323" s="232">
        <f t="shared" si="130"/>
        <v>0</v>
      </c>
      <c r="AZ323" s="232">
        <f t="shared" si="131"/>
        <v>0</v>
      </c>
    </row>
    <row r="324" spans="1:52">
      <c r="A324" s="269"/>
      <c r="C324" s="19">
        <v>201</v>
      </c>
      <c r="D324" s="86">
        <f ca="1" t="shared" si="155"/>
        <v>173.647781781174</v>
      </c>
      <c r="E324" s="251">
        <f ca="1" t="shared" si="132"/>
        <v>0.38228001257502</v>
      </c>
      <c r="F324" s="269">
        <f ca="1" t="shared" si="148"/>
        <v>309.330145079867</v>
      </c>
      <c r="G324" s="283">
        <f ca="1" t="shared" si="149"/>
        <v>118.250731750964</v>
      </c>
      <c r="H324" s="279">
        <f ca="1" t="shared" si="150"/>
        <v>0.234609255570135</v>
      </c>
      <c r="I324" s="269">
        <f ca="1">SUM($J$125:J324)/SUM($H$125:H324)</f>
        <v>0.576780590773598</v>
      </c>
      <c r="J324" s="284">
        <f t="shared" si="156"/>
        <v>0.106642425927291</v>
      </c>
      <c r="K324" s="19">
        <f t="shared" si="158"/>
        <v>21000</v>
      </c>
      <c r="L324" s="269">
        <f t="shared" si="151"/>
        <v>2.04999999999998</v>
      </c>
      <c r="M324" s="226">
        <f ca="1" t="shared" si="152"/>
        <v>30.624</v>
      </c>
      <c r="N324" s="280">
        <f ca="1" t="shared" si="157"/>
        <v>0.127966829642858</v>
      </c>
      <c r="O324" s="226">
        <f t="shared" si="123"/>
        <v>13.2</v>
      </c>
      <c r="P324" s="19">
        <f ca="1" t="shared" si="126"/>
        <v>14.2</v>
      </c>
      <c r="Q324" s="226">
        <f ca="1" t="shared" si="122"/>
        <v>2.32</v>
      </c>
      <c r="R324" s="269">
        <f ca="1" t="shared" si="133"/>
        <v>0.55579181163824</v>
      </c>
      <c r="S324" s="266">
        <f ca="1" t="shared" si="134"/>
        <v>52.2137976748294</v>
      </c>
      <c r="T324" s="226">
        <f ca="1">(1+OFFSET('玩法产出(新)'!$C$18,MATCH(X324,'玩法产出(新)'!$B$19:$B$25,0),1)*(1-V324)+OFFSET('玩法产出(新)'!$C$18,1+MATCH(X324,'玩法产出(新)'!$B$19:$B$25,0),1)*(V324))^AA324*(1+OFFSET('玩法产出(新)'!$C$18,MATCH(X324,'玩法产出(新)'!$B$19:$B$25,0),3)*(1-V324)+OFFSET('玩法产出(新)'!$C$18,1+MATCH(X324,'玩法产出(新)'!$B$19:$B$25,0),3)*(V324))^AB324*(1+OFFSET('玩法产出(新)'!$C$18,MATCH(X324,'玩法产出(新)'!$B$19:$B$25,0),4)*(1-V324)+OFFSET('玩法产出(新)'!$C$18,1+MATCH(X324,'玩法产出(新)'!$B$19:$B$25,0),4)*(V324))^AC324*(1+OFFSET('玩法产出(新)'!$C$18,MATCH(X324,'玩法产出(新)'!$B$19:$B$25,0),5)*(1+V324)+OFFSET('玩法产出(新)'!$C$18,1+MATCH(X324,'玩法产出(新)'!$B$19:$B$25,5),1)*(V324))^AD324*(1+OFFSET('玩法产出(新)'!$C$18,MATCH(X324,'玩法产出(新)'!$B$19:$B$25,0),6)*(1+V324)+OFFSET('玩法产出(新)'!$C$18,1+MATCH(X324,'玩法产出(新)'!$B$19:$B$25,0),6)*(V324))^AE324</f>
        <v>34.2167394650066</v>
      </c>
      <c r="U324" s="226">
        <f ca="1" t="shared" si="153"/>
        <v>0.147670757004871</v>
      </c>
      <c r="V324" s="226">
        <f ca="1">COUNTIF($X$124:$X324,X324)/(COUNTIF($X$124:$X$723,X324)+1)</f>
        <v>0.175257731958763</v>
      </c>
      <c r="W324" s="19">
        <v>30</v>
      </c>
      <c r="X324" s="19" t="s">
        <v>326</v>
      </c>
      <c r="Y324" s="19">
        <f t="shared" si="159"/>
        <v>21260</v>
      </c>
      <c r="Z324" s="19">
        <f ca="1" t="shared" si="135"/>
        <v>1.39011709407217</v>
      </c>
      <c r="AA324" s="282">
        <f ca="1" t="shared" si="136"/>
        <v>8.323540625</v>
      </c>
      <c r="AB324" s="282">
        <f ca="1" t="shared" si="137"/>
        <v>16.0046875</v>
      </c>
      <c r="AC324" s="282">
        <f ca="1" t="shared" si="138"/>
        <v>4.32135</v>
      </c>
      <c r="AD324" s="282">
        <f ca="1" t="shared" si="139"/>
        <v>1.0803375</v>
      </c>
      <c r="AE324" s="282">
        <f ca="1" t="shared" si="140"/>
        <v>0.270084375</v>
      </c>
      <c r="AF324" s="19" t="str">
        <f t="shared" si="141"/>
        <v>粉2</v>
      </c>
      <c r="AG324" s="19">
        <f>IFERROR(_xlfn.XLOOKUP(C324+1,[2]基因升级!$E$141:$E$500,[2]基因升级!$D$141:$D$500)-1,AG323)</f>
        <v>89</v>
      </c>
      <c r="AH324" s="19">
        <v>7</v>
      </c>
      <c r="AI324" s="19">
        <f t="shared" si="142"/>
        <v>9.2039189417803</v>
      </c>
      <c r="AJ324" s="19">
        <f t="shared" si="154"/>
        <v>0</v>
      </c>
      <c r="AK324" s="269">
        <v>1.864</v>
      </c>
      <c r="AL324" s="287">
        <f t="shared" si="124"/>
        <v>9.67999999999996</v>
      </c>
      <c r="AM324" s="287">
        <f t="shared" si="125"/>
        <v>6.08</v>
      </c>
      <c r="AN324" s="293"/>
      <c r="AQ324" s="19">
        <f t="shared" si="143"/>
        <v>1.92501876785354</v>
      </c>
      <c r="AR324" s="19">
        <f t="shared" si="144"/>
        <v>1.5088753661763</v>
      </c>
      <c r="AS324" s="19">
        <f t="shared" si="145"/>
        <v>1</v>
      </c>
      <c r="AT324" s="19">
        <f t="shared" si="146"/>
        <v>1</v>
      </c>
      <c r="AU324" s="19">
        <f t="shared" si="147"/>
        <v>1</v>
      </c>
      <c r="AV324" s="232">
        <f t="shared" si="127"/>
        <v>0.0399999999999991</v>
      </c>
      <c r="AW324" s="232">
        <f t="shared" si="128"/>
        <v>0.04</v>
      </c>
      <c r="AX324" s="232">
        <f t="shared" si="129"/>
        <v>0</v>
      </c>
      <c r="AY324" s="232">
        <f t="shared" si="130"/>
        <v>0</v>
      </c>
      <c r="AZ324" s="232">
        <f t="shared" si="131"/>
        <v>0</v>
      </c>
    </row>
    <row r="325" spans="1:52">
      <c r="A325" s="269"/>
      <c r="C325" s="19">
        <v>202</v>
      </c>
      <c r="D325" s="86">
        <f ca="1" t="shared" si="155"/>
        <v>174.02873980805</v>
      </c>
      <c r="E325" s="251">
        <f ca="1" t="shared" si="132"/>
        <v>0.380958026875388</v>
      </c>
      <c r="F325" s="269">
        <f ca="1" t="shared" si="148"/>
        <v>311.015416736508</v>
      </c>
      <c r="G325" s="283">
        <f ca="1" t="shared" si="149"/>
        <v>118.483819487767</v>
      </c>
      <c r="H325" s="279">
        <f ca="1" t="shared" si="150"/>
        <v>0.233087736802389</v>
      </c>
      <c r="I325" s="269">
        <f ca="1">SUM($J$125:J325)/SUM($H$125:H325)</f>
        <v>0.576520449360444</v>
      </c>
      <c r="J325" s="284">
        <f t="shared" si="156"/>
        <v>0.10621934842905</v>
      </c>
      <c r="K325" s="19">
        <f t="shared" si="158"/>
        <v>21100</v>
      </c>
      <c r="L325" s="269">
        <f t="shared" si="151"/>
        <v>2.05499999999998</v>
      </c>
      <c r="M325" s="226">
        <f ca="1" t="shared" si="152"/>
        <v>30.888</v>
      </c>
      <c r="N325" s="280">
        <f ca="1" t="shared" si="157"/>
        <v>0.126868388373346</v>
      </c>
      <c r="O325" s="226">
        <f t="shared" si="123"/>
        <v>13.2</v>
      </c>
      <c r="P325" s="19">
        <f ca="1" t="shared" si="126"/>
        <v>14.4</v>
      </c>
      <c r="Q325" s="226">
        <f ca="1" t="shared" si="122"/>
        <v>2.34</v>
      </c>
      <c r="R325" s="269">
        <f ca="1" t="shared" si="133"/>
        <v>0.557365822724715</v>
      </c>
      <c r="S325" s="266">
        <f ca="1" t="shared" si="134"/>
        <v>52.3616679649024</v>
      </c>
      <c r="T325" s="226">
        <f ca="1">(1+OFFSET('玩法产出(新)'!$C$18,MATCH(X325,'玩法产出(新)'!$B$19:$B$25,0),1)*(1-V325)+OFFSET('玩法产出(新)'!$C$18,1+MATCH(X325,'玩法产出(新)'!$B$19:$B$25,0),1)*(V325))^AA325*(1+OFFSET('玩法产出(新)'!$C$18,MATCH(X325,'玩法产出(新)'!$B$19:$B$25,0),3)*(1-V325)+OFFSET('玩法产出(新)'!$C$18,1+MATCH(X325,'玩法产出(新)'!$B$19:$B$25,0),3)*(V325))^AB325*(1+OFFSET('玩法产出(新)'!$C$18,MATCH(X325,'玩法产出(新)'!$B$19:$B$25,0),4)*(1-V325)+OFFSET('玩法产出(新)'!$C$18,1+MATCH(X325,'玩法产出(新)'!$B$19:$B$25,0),4)*(V325))^AC325*(1+OFFSET('玩法产出(新)'!$C$18,MATCH(X325,'玩法产出(新)'!$B$19:$B$25,0),5)*(1+V325)+OFFSET('玩法产出(新)'!$C$18,1+MATCH(X325,'玩法产出(新)'!$B$19:$B$25,5),1)*(V325))^AD325*(1+OFFSET('玩法产出(新)'!$C$18,MATCH(X325,'玩法产出(新)'!$B$19:$B$25,0),6)*(1+V325)+OFFSET('玩法产出(新)'!$C$18,1+MATCH(X325,'玩法产出(新)'!$B$19:$B$25,0),6)*(V325))^AE325</f>
        <v>34.5607859864229</v>
      </c>
      <c r="U325" s="226">
        <f ca="1" t="shared" si="153"/>
        <v>0.147870290072992</v>
      </c>
      <c r="V325" s="226">
        <f ca="1">COUNTIF($X$124:$X325,X325)/(COUNTIF($X$124:$X$723,X325)+1)</f>
        <v>0.177319587628866</v>
      </c>
      <c r="W325" s="19">
        <v>30</v>
      </c>
      <c r="X325" s="19" t="s">
        <v>326</v>
      </c>
      <c r="Y325" s="19">
        <f t="shared" si="159"/>
        <v>21360</v>
      </c>
      <c r="Z325" s="19">
        <f ca="1" t="shared" si="135"/>
        <v>1.37413415189003</v>
      </c>
      <c r="AA325" s="282">
        <f ca="1" t="shared" si="136"/>
        <v>8.22377916666667</v>
      </c>
      <c r="AB325" s="282">
        <f ca="1" t="shared" si="137"/>
        <v>16.0770833333333</v>
      </c>
      <c r="AC325" s="282">
        <f ca="1" t="shared" si="138"/>
        <v>4.3422</v>
      </c>
      <c r="AD325" s="282">
        <f ca="1" t="shared" si="139"/>
        <v>1.08555</v>
      </c>
      <c r="AE325" s="282">
        <f ca="1" t="shared" si="140"/>
        <v>0.2713875</v>
      </c>
      <c r="AF325" s="19" t="str">
        <f t="shared" si="141"/>
        <v>粉2</v>
      </c>
      <c r="AG325" s="19">
        <f>IFERROR(_xlfn.XLOOKUP(C325+1,[2]基因升级!$E$141:$E$500,[2]基因升级!$D$141:$D$500)-1,AG324)</f>
        <v>89</v>
      </c>
      <c r="AH325" s="19">
        <v>7</v>
      </c>
      <c r="AI325" s="19">
        <f t="shared" si="142"/>
        <v>9.2039189417803</v>
      </c>
      <c r="AJ325" s="19">
        <f t="shared" si="154"/>
        <v>0</v>
      </c>
      <c r="AK325" s="269">
        <v>1.864</v>
      </c>
      <c r="AL325" s="287">
        <f t="shared" si="124"/>
        <v>9.71999999999996</v>
      </c>
      <c r="AM325" s="287">
        <f t="shared" si="125"/>
        <v>6.12</v>
      </c>
      <c r="AN325" s="293"/>
      <c r="AQ325" s="19">
        <f t="shared" si="143"/>
        <v>1.93023559065779</v>
      </c>
      <c r="AR325" s="19">
        <f t="shared" si="144"/>
        <v>1.51296443561838</v>
      </c>
      <c r="AS325" s="19">
        <f t="shared" si="145"/>
        <v>1</v>
      </c>
      <c r="AT325" s="19">
        <f t="shared" si="146"/>
        <v>1</v>
      </c>
      <c r="AU325" s="19">
        <f t="shared" si="147"/>
        <v>1</v>
      </c>
      <c r="AV325" s="232">
        <f t="shared" si="127"/>
        <v>0.0399999999999991</v>
      </c>
      <c r="AW325" s="232">
        <f t="shared" si="128"/>
        <v>0.04</v>
      </c>
      <c r="AX325" s="232">
        <f t="shared" si="129"/>
        <v>0</v>
      </c>
      <c r="AY325" s="232">
        <f t="shared" si="130"/>
        <v>0</v>
      </c>
      <c r="AZ325" s="232">
        <f t="shared" si="131"/>
        <v>0</v>
      </c>
    </row>
    <row r="326" spans="1:52">
      <c r="A326" s="269"/>
      <c r="C326" s="19">
        <v>203</v>
      </c>
      <c r="D326" s="86">
        <f ca="1" t="shared" si="155"/>
        <v>174.408398041021</v>
      </c>
      <c r="E326" s="251">
        <f ca="1" t="shared" si="132"/>
        <v>0.379658232971038</v>
      </c>
      <c r="F326" s="269">
        <f ca="1" t="shared" si="148"/>
        <v>312.690197893646</v>
      </c>
      <c r="G326" s="283">
        <f ca="1" t="shared" si="149"/>
        <v>118.715407999666</v>
      </c>
      <c r="H326" s="279">
        <f ca="1" t="shared" si="150"/>
        <v>0.231588511898977</v>
      </c>
      <c r="I326" s="269">
        <f ca="1">SUM($J$125:J326)/SUM($H$125:H326)</f>
        <v>0.576265511758906</v>
      </c>
      <c r="J326" s="284">
        <f t="shared" si="156"/>
        <v>0.105799867580977</v>
      </c>
      <c r="K326" s="19">
        <f t="shared" si="158"/>
        <v>21200</v>
      </c>
      <c r="L326" s="269">
        <f t="shared" si="151"/>
        <v>2.05999999999998</v>
      </c>
      <c r="M326" s="226">
        <f ca="1" t="shared" si="152"/>
        <v>31.152</v>
      </c>
      <c r="N326" s="280">
        <f ca="1" t="shared" si="157"/>
        <v>0.125788644317986</v>
      </c>
      <c r="O326" s="226">
        <f t="shared" si="123"/>
        <v>13.2</v>
      </c>
      <c r="P326" s="19">
        <f ca="1" t="shared" si="126"/>
        <v>14.6</v>
      </c>
      <c r="Q326" s="226">
        <f ca="1" t="shared" si="122"/>
        <v>2.36</v>
      </c>
      <c r="R326" s="269">
        <f ca="1" t="shared" si="133"/>
        <v>0.55894195666226</v>
      </c>
      <c r="S326" s="266">
        <f ca="1" t="shared" si="134"/>
        <v>52.5097376859745</v>
      </c>
      <c r="T326" s="226">
        <f ca="1">(1+OFFSET('玩法产出(新)'!$C$18,MATCH(X326,'玩法产出(新)'!$B$19:$B$25,0),1)*(1-V326)+OFFSET('玩法产出(新)'!$C$18,1+MATCH(X326,'玩法产出(新)'!$B$19:$B$25,0),1)*(V326))^AA326*(1+OFFSET('玩法产出(新)'!$C$18,MATCH(X326,'玩法产出(新)'!$B$19:$B$25,0),3)*(1-V326)+OFFSET('玩法产出(新)'!$C$18,1+MATCH(X326,'玩法产出(新)'!$B$19:$B$25,0),3)*(V326))^AB326*(1+OFFSET('玩法产出(新)'!$C$18,MATCH(X326,'玩法产出(新)'!$B$19:$B$25,0),4)*(1-V326)+OFFSET('玩法产出(新)'!$C$18,1+MATCH(X326,'玩法产出(新)'!$B$19:$B$25,0),4)*(V326))^AC326*(1+OFFSET('玩法产出(新)'!$C$18,MATCH(X326,'玩法产出(新)'!$B$19:$B$25,0),5)*(1+V326)+OFFSET('玩法产出(新)'!$C$18,1+MATCH(X326,'玩法产出(新)'!$B$19:$B$25,5),1)*(V326))^AD326*(1+OFFSET('玩法产出(新)'!$C$18,MATCH(X326,'玩法产出(新)'!$B$19:$B$25,0),6)*(1+V326)+OFFSET('玩法产出(新)'!$C$18,1+MATCH(X326,'玩法产出(新)'!$B$19:$B$25,0),6)*(V326))^AE326</f>
        <v>34.9087628963734</v>
      </c>
      <c r="U326" s="226">
        <f ca="1" t="shared" si="153"/>
        <v>0.148069721072075</v>
      </c>
      <c r="V326" s="226">
        <f ca="1">COUNTIF($X$124:$X326,X326)/(COUNTIF($X$124:$X$723,X326)+1)</f>
        <v>0.179381443298969</v>
      </c>
      <c r="W326" s="19">
        <v>30</v>
      </c>
      <c r="X326" s="19" t="s">
        <v>326</v>
      </c>
      <c r="Y326" s="19">
        <f t="shared" si="159"/>
        <v>21460</v>
      </c>
      <c r="Z326" s="19">
        <f ca="1" t="shared" si="135"/>
        <v>1.35813475420962</v>
      </c>
      <c r="AA326" s="282">
        <f ca="1" t="shared" si="136"/>
        <v>8.12401770833333</v>
      </c>
      <c r="AB326" s="282">
        <f ca="1" t="shared" si="137"/>
        <v>16.1494791666667</v>
      </c>
      <c r="AC326" s="282">
        <f ca="1" t="shared" si="138"/>
        <v>4.36305</v>
      </c>
      <c r="AD326" s="282">
        <f ca="1" t="shared" si="139"/>
        <v>1.0907625</v>
      </c>
      <c r="AE326" s="282">
        <f ca="1" t="shared" si="140"/>
        <v>0.272690625</v>
      </c>
      <c r="AF326" s="19" t="str">
        <f t="shared" si="141"/>
        <v>粉2</v>
      </c>
      <c r="AG326" s="19">
        <f>IFERROR(_xlfn.XLOOKUP(C326+1,[2]基因升级!$E$141:$E$500,[2]基因升级!$D$141:$D$500)-1,AG325)</f>
        <v>89</v>
      </c>
      <c r="AH326" s="19">
        <v>7</v>
      </c>
      <c r="AI326" s="19">
        <f t="shared" si="142"/>
        <v>9.2039189417803</v>
      </c>
      <c r="AJ326" s="19">
        <f t="shared" si="154"/>
        <v>0</v>
      </c>
      <c r="AK326" s="269">
        <v>1.864</v>
      </c>
      <c r="AL326" s="287">
        <f t="shared" si="124"/>
        <v>9.75999999999996</v>
      </c>
      <c r="AM326" s="287">
        <f t="shared" si="125"/>
        <v>6.16</v>
      </c>
      <c r="AN326" s="293"/>
      <c r="AQ326" s="19">
        <f t="shared" si="143"/>
        <v>1.93546655111132</v>
      </c>
      <c r="AR326" s="19">
        <f t="shared" si="144"/>
        <v>1.51706458648526</v>
      </c>
      <c r="AS326" s="19">
        <f t="shared" si="145"/>
        <v>1</v>
      </c>
      <c r="AT326" s="19">
        <f t="shared" si="146"/>
        <v>1</v>
      </c>
      <c r="AU326" s="19">
        <f t="shared" si="147"/>
        <v>1</v>
      </c>
      <c r="AV326" s="232">
        <f t="shared" si="127"/>
        <v>0.0399999999999991</v>
      </c>
      <c r="AW326" s="232">
        <f t="shared" si="128"/>
        <v>0.04</v>
      </c>
      <c r="AX326" s="232">
        <f t="shared" si="129"/>
        <v>0</v>
      </c>
      <c r="AY326" s="232">
        <f t="shared" si="130"/>
        <v>0</v>
      </c>
      <c r="AZ326" s="232">
        <f t="shared" si="131"/>
        <v>0</v>
      </c>
    </row>
    <row r="327" spans="1:52">
      <c r="A327" s="269"/>
      <c r="C327" s="19">
        <v>204</v>
      </c>
      <c r="D327" s="86">
        <f ca="1" t="shared" si="155"/>
        <v>174.786778150809</v>
      </c>
      <c r="E327" s="251">
        <f ca="1" t="shared" si="132"/>
        <v>0.378380109788859</v>
      </c>
      <c r="F327" s="269">
        <f ca="1" t="shared" si="148"/>
        <v>314.354576210913</v>
      </c>
      <c r="G327" s="283">
        <f ca="1" t="shared" si="149"/>
        <v>118.945519059315</v>
      </c>
      <c r="H327" s="279">
        <f ca="1" t="shared" si="150"/>
        <v>0.230111059649815</v>
      </c>
      <c r="I327" s="269">
        <f ca="1">SUM($J$125:J327)/SUM($H$125:H327)</f>
        <v>0.576015651716437</v>
      </c>
      <c r="J327" s="284">
        <f t="shared" si="156"/>
        <v>0.105383935531592</v>
      </c>
      <c r="K327" s="19">
        <f t="shared" si="158"/>
        <v>21300</v>
      </c>
      <c r="L327" s="269">
        <f t="shared" si="151"/>
        <v>2.06499999999998</v>
      </c>
      <c r="M327" s="226">
        <f ca="1" t="shared" si="152"/>
        <v>31.416</v>
      </c>
      <c r="N327" s="280">
        <f ca="1" t="shared" si="157"/>
        <v>0.124727124118223</v>
      </c>
      <c r="O327" s="226">
        <f t="shared" si="123"/>
        <v>13.2</v>
      </c>
      <c r="P327" s="19">
        <f ca="1" t="shared" si="126"/>
        <v>14.8</v>
      </c>
      <c r="Q327" s="226">
        <f ca="1" t="shared" si="122"/>
        <v>2.38</v>
      </c>
      <c r="R327" s="269">
        <f ca="1" t="shared" si="133"/>
        <v>0.560520212365855</v>
      </c>
      <c r="S327" s="266">
        <f ca="1" t="shared" si="134"/>
        <v>52.6580067361135</v>
      </c>
      <c r="T327" s="226">
        <f ca="1">(1+OFFSET('玩法产出(新)'!$C$18,MATCH(X327,'玩法产出(新)'!$B$19:$B$25,0),1)*(1-V327)+OFFSET('玩法产出(新)'!$C$18,1+MATCH(X327,'玩法产出(新)'!$B$19:$B$25,0),1)*(V327))^AA327*(1+OFFSET('玩法产出(新)'!$C$18,MATCH(X327,'玩法产出(新)'!$B$19:$B$25,0),3)*(1-V327)+OFFSET('玩法产出(新)'!$C$18,1+MATCH(X327,'玩法产出(新)'!$B$19:$B$25,0),3)*(V327))^AB327*(1+OFFSET('玩法产出(新)'!$C$18,MATCH(X327,'玩法产出(新)'!$B$19:$B$25,0),4)*(1-V327)+OFFSET('玩法产出(新)'!$C$18,1+MATCH(X327,'玩法产出(新)'!$B$19:$B$25,0),4)*(V327))^AC327*(1+OFFSET('玩法产出(新)'!$C$18,MATCH(X327,'玩法产出(新)'!$B$19:$B$25,0),5)*(1+V327)+OFFSET('玩法产出(新)'!$C$18,1+MATCH(X327,'玩法产出(新)'!$B$19:$B$25,5),1)*(V327))^AD327*(1+OFFSET('玩法产出(新)'!$C$18,MATCH(X327,'玩法产出(新)'!$B$19:$B$25,0),6)*(1+V327)+OFFSET('玩法产出(新)'!$C$18,1+MATCH(X327,'玩法产出(新)'!$B$19:$B$25,0),6)*(V327))^AE327</f>
        <v>35.2607189629876</v>
      </c>
      <c r="U327" s="226">
        <f ca="1" t="shared" si="153"/>
        <v>0.148269050139044</v>
      </c>
      <c r="V327" s="226">
        <f ca="1">COUNTIF($X$124:$X327,X327)/(COUNTIF($X$124:$X$723,X327)+1)</f>
        <v>0.181443298969072</v>
      </c>
      <c r="W327" s="19">
        <v>30</v>
      </c>
      <c r="X327" s="19" t="s">
        <v>326</v>
      </c>
      <c r="Y327" s="19">
        <f t="shared" si="159"/>
        <v>21560</v>
      </c>
      <c r="Z327" s="19">
        <f ca="1" t="shared" si="135"/>
        <v>1.34211890103093</v>
      </c>
      <c r="AA327" s="282">
        <f ca="1" t="shared" si="136"/>
        <v>8.02425625</v>
      </c>
      <c r="AB327" s="282">
        <f ca="1" t="shared" si="137"/>
        <v>16.221875</v>
      </c>
      <c r="AC327" s="282">
        <f ca="1" t="shared" si="138"/>
        <v>4.3839</v>
      </c>
      <c r="AD327" s="282">
        <f ca="1" t="shared" si="139"/>
        <v>1.095975</v>
      </c>
      <c r="AE327" s="282">
        <f ca="1" t="shared" si="140"/>
        <v>0.27399375</v>
      </c>
      <c r="AF327" s="19" t="str">
        <f t="shared" si="141"/>
        <v>粉2</v>
      </c>
      <c r="AG327" s="19">
        <f>IFERROR(_xlfn.XLOOKUP(C327+1,[2]基因升级!$E$141:$E$500,[2]基因升级!$D$141:$D$500)-1,AG326)</f>
        <v>89</v>
      </c>
      <c r="AH327" s="19">
        <v>7</v>
      </c>
      <c r="AI327" s="19">
        <f t="shared" si="142"/>
        <v>9.2039189417803</v>
      </c>
      <c r="AJ327" s="19">
        <f t="shared" si="154"/>
        <v>0</v>
      </c>
      <c r="AK327" s="269">
        <v>1.864</v>
      </c>
      <c r="AL327" s="287">
        <f t="shared" si="124"/>
        <v>9.79999999999996</v>
      </c>
      <c r="AM327" s="287">
        <f t="shared" si="125"/>
        <v>6.2</v>
      </c>
      <c r="AN327" s="293"/>
      <c r="AQ327" s="19">
        <f t="shared" si="143"/>
        <v>1.9407116875273</v>
      </c>
      <c r="AR327" s="19">
        <f t="shared" si="144"/>
        <v>1.52117584880772</v>
      </c>
      <c r="AS327" s="19">
        <f t="shared" si="145"/>
        <v>1</v>
      </c>
      <c r="AT327" s="19">
        <f t="shared" si="146"/>
        <v>1</v>
      </c>
      <c r="AU327" s="19">
        <f t="shared" si="147"/>
        <v>1</v>
      </c>
      <c r="AV327" s="232">
        <f t="shared" si="127"/>
        <v>0.0399999999999991</v>
      </c>
      <c r="AW327" s="232">
        <f t="shared" si="128"/>
        <v>0.04</v>
      </c>
      <c r="AX327" s="232">
        <f t="shared" si="129"/>
        <v>0</v>
      </c>
      <c r="AY327" s="232">
        <f t="shared" si="130"/>
        <v>0</v>
      </c>
      <c r="AZ327" s="232">
        <f t="shared" si="131"/>
        <v>0</v>
      </c>
    </row>
    <row r="328" spans="1:52">
      <c r="A328" s="269"/>
      <c r="C328" s="19">
        <v>205</v>
      </c>
      <c r="D328" s="86">
        <f ca="1" t="shared" si="155"/>
        <v>175.163901303778</v>
      </c>
      <c r="E328" s="251">
        <f ca="1" t="shared" si="132"/>
        <v>0.377123152968948</v>
      </c>
      <c r="F328" s="269">
        <f ca="1" t="shared" si="148"/>
        <v>316.008638018272</v>
      </c>
      <c r="G328" s="283">
        <f ca="1" t="shared" si="149"/>
        <v>119.174173934874</v>
      </c>
      <c r="H328" s="279">
        <f ca="1" t="shared" si="150"/>
        <v>0.22865487555832</v>
      </c>
      <c r="I328" s="269">
        <f ca="1">SUM($J$125:J328)/SUM($H$125:H328)</f>
        <v>0.575770746892325</v>
      </c>
      <c r="J328" s="284">
        <f t="shared" si="156"/>
        <v>0.104971505297755</v>
      </c>
      <c r="K328" s="19">
        <f t="shared" si="158"/>
        <v>21400</v>
      </c>
      <c r="L328" s="269">
        <f t="shared" si="151"/>
        <v>2.06999999999998</v>
      </c>
      <c r="M328" s="226">
        <f ca="1" t="shared" si="152"/>
        <v>31.68</v>
      </c>
      <c r="N328" s="280">
        <f ca="1" t="shared" si="157"/>
        <v>0.123683370260565</v>
      </c>
      <c r="O328" s="226">
        <f t="shared" si="123"/>
        <v>13.2</v>
      </c>
      <c r="P328" s="19">
        <f ca="1" t="shared" si="126"/>
        <v>15</v>
      </c>
      <c r="Q328" s="226">
        <f ca="1" t="shared" si="122"/>
        <v>2.4</v>
      </c>
      <c r="R328" s="269">
        <f ca="1" t="shared" si="133"/>
        <v>0.562100588751935</v>
      </c>
      <c r="S328" s="266">
        <f ca="1" t="shared" si="134"/>
        <v>52.8064750135241</v>
      </c>
      <c r="T328" s="226">
        <f ca="1">(1+OFFSET('玩法产出(新)'!$C$18,MATCH(X328,'玩法产出(新)'!$B$19:$B$25,0),1)*(1-V328)+OFFSET('玩法产出(新)'!$C$18,1+MATCH(X328,'玩法产出(新)'!$B$19:$B$25,0),1)*(V328))^AA328*(1+OFFSET('玩法产出(新)'!$C$18,MATCH(X328,'玩法产出(新)'!$B$19:$B$25,0),3)*(1-V328)+OFFSET('玩法产出(新)'!$C$18,1+MATCH(X328,'玩法产出(新)'!$B$19:$B$25,0),3)*(V328))^AB328*(1+OFFSET('玩法产出(新)'!$C$18,MATCH(X328,'玩法产出(新)'!$B$19:$B$25,0),4)*(1-V328)+OFFSET('玩法产出(新)'!$C$18,1+MATCH(X328,'玩法产出(新)'!$B$19:$B$25,0),4)*(V328))^AC328*(1+OFFSET('玩法产出(新)'!$C$18,MATCH(X328,'玩法产出(新)'!$B$19:$B$25,0),5)*(1+V328)+OFFSET('玩法产出(新)'!$C$18,1+MATCH(X328,'玩法产出(新)'!$B$19:$B$25,5),1)*(V328))^AD328*(1+OFFSET('玩法产出(新)'!$C$18,MATCH(X328,'玩法产出(新)'!$B$19:$B$25,0),6)*(1+V328)+OFFSET('玩法产出(新)'!$C$18,1+MATCH(X328,'玩法产出(新)'!$B$19:$B$25,0),6)*(V328))^AE328</f>
        <v>35.6167036006089</v>
      </c>
      <c r="U328" s="226">
        <f ca="1" t="shared" si="153"/>
        <v>0.148468277410628</v>
      </c>
      <c r="V328" s="226">
        <f ca="1">COUNTIF($X$124:$X328,X328)/(COUNTIF($X$124:$X$723,X328)+1)</f>
        <v>0.183505154639175</v>
      </c>
      <c r="W328" s="19">
        <v>30</v>
      </c>
      <c r="X328" s="19" t="s">
        <v>326</v>
      </c>
      <c r="Y328" s="19">
        <f t="shared" si="159"/>
        <v>21660</v>
      </c>
      <c r="Z328" s="19">
        <f ca="1" t="shared" si="135"/>
        <v>1.32608659235395</v>
      </c>
      <c r="AA328" s="282">
        <f ca="1" t="shared" si="136"/>
        <v>7.92449479166666</v>
      </c>
      <c r="AB328" s="282">
        <f ca="1" t="shared" si="137"/>
        <v>16.2942708333333</v>
      </c>
      <c r="AC328" s="282">
        <f ca="1" t="shared" si="138"/>
        <v>4.40475</v>
      </c>
      <c r="AD328" s="282">
        <f ca="1" t="shared" si="139"/>
        <v>1.1011875</v>
      </c>
      <c r="AE328" s="282">
        <f ca="1" t="shared" si="140"/>
        <v>0.275296875</v>
      </c>
      <c r="AF328" s="19" t="str">
        <f t="shared" si="141"/>
        <v>粉2</v>
      </c>
      <c r="AG328" s="19">
        <f>IFERROR(_xlfn.XLOOKUP(C328+1,[2]基因升级!$E$141:$E$500,[2]基因升级!$D$141:$D$500)-1,AG327)</f>
        <v>89</v>
      </c>
      <c r="AH328" s="19">
        <v>7</v>
      </c>
      <c r="AI328" s="19">
        <f t="shared" si="142"/>
        <v>9.2039189417803</v>
      </c>
      <c r="AJ328" s="19">
        <f t="shared" si="154"/>
        <v>0</v>
      </c>
      <c r="AK328" s="269">
        <v>1.864</v>
      </c>
      <c r="AL328" s="287">
        <f t="shared" si="124"/>
        <v>9.83999999999996</v>
      </c>
      <c r="AM328" s="287">
        <f t="shared" si="125"/>
        <v>6.24</v>
      </c>
      <c r="AN328" s="293"/>
      <c r="AQ328" s="19">
        <f t="shared" si="143"/>
        <v>1.94597103832276</v>
      </c>
      <c r="AR328" s="19">
        <f t="shared" si="144"/>
        <v>1.52529825269794</v>
      </c>
      <c r="AS328" s="19">
        <f t="shared" si="145"/>
        <v>1</v>
      </c>
      <c r="AT328" s="19">
        <f t="shared" si="146"/>
        <v>1</v>
      </c>
      <c r="AU328" s="19">
        <f t="shared" si="147"/>
        <v>1</v>
      </c>
      <c r="AV328" s="232">
        <f t="shared" si="127"/>
        <v>0.0399999999999991</v>
      </c>
      <c r="AW328" s="232">
        <f t="shared" si="128"/>
        <v>0.04</v>
      </c>
      <c r="AX328" s="232">
        <f t="shared" si="129"/>
        <v>0</v>
      </c>
      <c r="AY328" s="232">
        <f t="shared" si="130"/>
        <v>0</v>
      </c>
      <c r="AZ328" s="232">
        <f t="shared" si="131"/>
        <v>0</v>
      </c>
    </row>
    <row r="329" spans="1:52">
      <c r="A329" s="269"/>
      <c r="C329" s="19">
        <v>206</v>
      </c>
      <c r="D329" s="86">
        <f ca="1" t="shared" si="155"/>
        <v>175.539788177966</v>
      </c>
      <c r="E329" s="251">
        <f ca="1" t="shared" si="132"/>
        <v>0.375886874187123</v>
      </c>
      <c r="F329" s="269">
        <f ca="1" t="shared" si="148"/>
        <v>317.652468350352</v>
      </c>
      <c r="G329" s="283">
        <f ca="1" t="shared" si="149"/>
        <v>119.401393406038</v>
      </c>
      <c r="H329" s="279">
        <f ca="1" t="shared" si="150"/>
        <v>0.227219471163991</v>
      </c>
      <c r="I329" s="269">
        <f ca="1">SUM($J$125:J329)/SUM($H$125:H329)</f>
        <v>0.575530678708017</v>
      </c>
      <c r="J329" s="284">
        <f t="shared" si="156"/>
        <v>0.104562530744801</v>
      </c>
      <c r="K329" s="19">
        <f t="shared" si="158"/>
        <v>21500</v>
      </c>
      <c r="L329" s="269">
        <f t="shared" si="151"/>
        <v>2.07499999999998</v>
      </c>
      <c r="M329" s="226">
        <f ca="1" t="shared" si="152"/>
        <v>31.944</v>
      </c>
      <c r="N329" s="280">
        <f ca="1" t="shared" si="157"/>
        <v>0.122656940419191</v>
      </c>
      <c r="O329" s="226">
        <f t="shared" si="123"/>
        <v>13.2</v>
      </c>
      <c r="P329" s="19">
        <f ca="1" t="shared" si="126"/>
        <v>15.2</v>
      </c>
      <c r="Q329" s="226">
        <f ca="1" t="shared" ref="Q329:Q392" si="160">_xlfn.XLOOKUP(O329,$D$76:$D$95,$E$76:$E$95)*(P329-1)+1</f>
        <v>2.42</v>
      </c>
      <c r="R329" s="269">
        <f ca="1" t="shared" si="133"/>
        <v>0.563683084738386</v>
      </c>
      <c r="S329" s="266">
        <f ca="1" t="shared" si="134"/>
        <v>52.9551424165473</v>
      </c>
      <c r="T329" s="226">
        <f ca="1">(1+OFFSET('玩法产出(新)'!$C$18,MATCH(X329,'玩法产出(新)'!$B$19:$B$25,0),1)*(1-V329)+OFFSET('玩法产出(新)'!$C$18,1+MATCH(X329,'玩法产出(新)'!$B$19:$B$25,0),1)*(V329))^AA329*(1+OFFSET('玩法产出(新)'!$C$18,MATCH(X329,'玩法产出(新)'!$B$19:$B$25,0),3)*(1-V329)+OFFSET('玩法产出(新)'!$C$18,1+MATCH(X329,'玩法产出(新)'!$B$19:$B$25,0),3)*(V329))^AB329*(1+OFFSET('玩法产出(新)'!$C$18,MATCH(X329,'玩法产出(新)'!$B$19:$B$25,0),4)*(1-V329)+OFFSET('玩法产出(新)'!$C$18,1+MATCH(X329,'玩法产出(新)'!$B$19:$B$25,0),4)*(V329))^AC329*(1+OFFSET('玩法产出(新)'!$C$18,MATCH(X329,'玩法产出(新)'!$B$19:$B$25,0),5)*(1+V329)+OFFSET('玩法产出(新)'!$C$18,1+MATCH(X329,'玩法产出(新)'!$B$19:$B$25,5),1)*(V329))^AD329*(1+OFFSET('玩法产出(新)'!$C$18,MATCH(X329,'玩法产出(新)'!$B$19:$B$25,0),6)*(1+V329)+OFFSET('玩法产出(新)'!$C$18,1+MATCH(X329,'玩法产出(新)'!$B$19:$B$25,0),6)*(V329))^AE329</f>
        <v>35.9767668788337</v>
      </c>
      <c r="U329" s="226">
        <f ca="1" t="shared" si="153"/>
        <v>0.148667403023131</v>
      </c>
      <c r="V329" s="226">
        <f ca="1">COUNTIF($X$124:$X329,X329)/(COUNTIF($X$124:$X$723,X329)+1)</f>
        <v>0.185567010309278</v>
      </c>
      <c r="W329" s="19">
        <v>30</v>
      </c>
      <c r="X329" s="19" t="s">
        <v>326</v>
      </c>
      <c r="Y329" s="19">
        <f t="shared" si="159"/>
        <v>21760</v>
      </c>
      <c r="Z329" s="19">
        <f ca="1" t="shared" si="135"/>
        <v>1.31003782817869</v>
      </c>
      <c r="AA329" s="282">
        <f ca="1" t="shared" si="136"/>
        <v>7.82473333333333</v>
      </c>
      <c r="AB329" s="282">
        <f ca="1" t="shared" si="137"/>
        <v>16.3666666666667</v>
      </c>
      <c r="AC329" s="282">
        <f ca="1" t="shared" si="138"/>
        <v>4.4256</v>
      </c>
      <c r="AD329" s="282">
        <f ca="1" t="shared" si="139"/>
        <v>1.1064</v>
      </c>
      <c r="AE329" s="282">
        <f ca="1" t="shared" si="140"/>
        <v>0.2766</v>
      </c>
      <c r="AF329" s="19" t="str">
        <f t="shared" si="141"/>
        <v>粉2</v>
      </c>
      <c r="AG329" s="19">
        <f>IFERROR(_xlfn.XLOOKUP(C329+1,[2]基因升级!$E$141:$E$500,[2]基因升级!$D$141:$D$500)-1,AG328)</f>
        <v>89</v>
      </c>
      <c r="AH329" s="19">
        <v>7</v>
      </c>
      <c r="AI329" s="19">
        <f t="shared" si="142"/>
        <v>9.2039189417803</v>
      </c>
      <c r="AJ329" s="19">
        <f t="shared" si="154"/>
        <v>0</v>
      </c>
      <c r="AK329" s="269">
        <v>1.864</v>
      </c>
      <c r="AL329" s="287">
        <f t="shared" si="124"/>
        <v>9.87999999999996</v>
      </c>
      <c r="AM329" s="287">
        <f t="shared" si="125"/>
        <v>6.28</v>
      </c>
      <c r="AN329" s="293"/>
      <c r="AQ329" s="19">
        <f t="shared" si="143"/>
        <v>1.95124464201883</v>
      </c>
      <c r="AR329" s="19">
        <f t="shared" si="144"/>
        <v>1.52943182834969</v>
      </c>
      <c r="AS329" s="19">
        <f t="shared" si="145"/>
        <v>1</v>
      </c>
      <c r="AT329" s="19">
        <f t="shared" si="146"/>
        <v>1</v>
      </c>
      <c r="AU329" s="19">
        <f t="shared" si="147"/>
        <v>1</v>
      </c>
      <c r="AV329" s="232">
        <f t="shared" si="127"/>
        <v>0.0399999999999991</v>
      </c>
      <c r="AW329" s="232">
        <f t="shared" si="128"/>
        <v>0.04</v>
      </c>
      <c r="AX329" s="232">
        <f t="shared" si="129"/>
        <v>0</v>
      </c>
      <c r="AY329" s="232">
        <f t="shared" si="130"/>
        <v>0</v>
      </c>
      <c r="AZ329" s="232">
        <f t="shared" si="131"/>
        <v>0</v>
      </c>
    </row>
    <row r="330" spans="1:52">
      <c r="A330" s="269"/>
      <c r="C330" s="19">
        <v>207</v>
      </c>
      <c r="D330" s="86">
        <f ca="1" t="shared" si="155"/>
        <v>175.914458978476</v>
      </c>
      <c r="E330" s="251">
        <f ca="1" t="shared" si="132"/>
        <v>0.374670800510707</v>
      </c>
      <c r="F330" s="269">
        <f ca="1" t="shared" si="148"/>
        <v>319.286150979404</v>
      </c>
      <c r="G330" s="283">
        <f ca="1" t="shared" si="149"/>
        <v>119.627197779436</v>
      </c>
      <c r="H330" s="279">
        <f ca="1" t="shared" si="150"/>
        <v>0.225804373397949</v>
      </c>
      <c r="I330" s="269">
        <f ca="1">SUM($J$125:J330)/SUM($H$125:H330)</f>
        <v>0.575295332204299</v>
      </c>
      <c r="J330" s="284">
        <f t="shared" si="156"/>
        <v>0.104156966567182</v>
      </c>
      <c r="K330" s="19">
        <f t="shared" si="158"/>
        <v>21600</v>
      </c>
      <c r="L330" s="269">
        <f t="shared" si="151"/>
        <v>2.07999999999998</v>
      </c>
      <c r="M330" s="226">
        <f ca="1" t="shared" si="152"/>
        <v>32.208</v>
      </c>
      <c r="N330" s="280">
        <f ca="1" t="shared" si="157"/>
        <v>0.121647406830789</v>
      </c>
      <c r="O330" s="226">
        <f t="shared" ref="O330:O393" si="161">IF(MOD(C330,60)=0,_xlfn.XLOOKUP(_xlfn.XLOOKUP(O329,$D$76:$D$95,$C$76:$C$95)+1,$C$76:$C$95,$D$76:$D$95),O329)</f>
        <v>13.2</v>
      </c>
      <c r="P330" s="19">
        <f ca="1" t="shared" si="126"/>
        <v>15.4</v>
      </c>
      <c r="Q330" s="226">
        <f ca="1" t="shared" si="160"/>
        <v>2.44</v>
      </c>
      <c r="R330" s="269">
        <f ca="1" t="shared" si="133"/>
        <v>0.565267699244544</v>
      </c>
      <c r="S330" s="266">
        <f ca="1" t="shared" si="134"/>
        <v>53.10400884366</v>
      </c>
      <c r="T330" s="226">
        <f ca="1">(1+OFFSET('玩法产出(新)'!$C$18,MATCH(X330,'玩法产出(新)'!$B$19:$B$25,0),1)*(1-V330)+OFFSET('玩法产出(新)'!$C$18,1+MATCH(X330,'玩法产出(新)'!$B$19:$B$25,0),1)*(V330))^AA330*(1+OFFSET('玩法产出(新)'!$C$18,MATCH(X330,'玩法产出(新)'!$B$19:$B$25,0),3)*(1-V330)+OFFSET('玩法产出(新)'!$C$18,1+MATCH(X330,'玩法产出(新)'!$B$19:$B$25,0),3)*(V330))^AB330*(1+OFFSET('玩法产出(新)'!$C$18,MATCH(X330,'玩法产出(新)'!$B$19:$B$25,0),4)*(1-V330)+OFFSET('玩法产出(新)'!$C$18,1+MATCH(X330,'玩法产出(新)'!$B$19:$B$25,0),4)*(V330))^AC330*(1+OFFSET('玩法产出(新)'!$C$18,MATCH(X330,'玩法产出(新)'!$B$19:$B$25,0),5)*(1+V330)+OFFSET('玩法产出(新)'!$C$18,1+MATCH(X330,'玩法产出(新)'!$B$19:$B$25,5),1)*(V330))^AD330*(1+OFFSET('玩法产出(新)'!$C$18,MATCH(X330,'玩法产出(新)'!$B$19:$B$25,0),6)*(1+V330)+OFFSET('玩法产出(新)'!$C$18,1+MATCH(X330,'玩法产出(新)'!$B$19:$B$25,0),6)*(V330))^AE330</f>
        <v>36.3409595316845</v>
      </c>
      <c r="U330" s="226">
        <f ca="1" t="shared" si="153"/>
        <v>0.148866427112736</v>
      </c>
      <c r="V330" s="226">
        <f ca="1">COUNTIF($X$124:$X330,X330)/(COUNTIF($X$124:$X$723,X330)+1)</f>
        <v>0.187628865979381</v>
      </c>
      <c r="W330" s="19">
        <v>30</v>
      </c>
      <c r="X330" s="19" t="s">
        <v>326</v>
      </c>
      <c r="Y330" s="19">
        <f t="shared" si="159"/>
        <v>21860</v>
      </c>
      <c r="Z330" s="19">
        <f ca="1" t="shared" si="135"/>
        <v>1.29397260850515</v>
      </c>
      <c r="AA330" s="282">
        <f ca="1" t="shared" si="136"/>
        <v>7.724971875</v>
      </c>
      <c r="AB330" s="282">
        <f ca="1" t="shared" si="137"/>
        <v>16.4390625</v>
      </c>
      <c r="AC330" s="282">
        <f ca="1" t="shared" si="138"/>
        <v>4.44645</v>
      </c>
      <c r="AD330" s="282">
        <f ca="1" t="shared" si="139"/>
        <v>1.1116125</v>
      </c>
      <c r="AE330" s="282">
        <f ca="1" t="shared" si="140"/>
        <v>0.277903125</v>
      </c>
      <c r="AF330" s="19" t="str">
        <f t="shared" si="141"/>
        <v>粉2</v>
      </c>
      <c r="AG330" s="19">
        <f>IFERROR(_xlfn.XLOOKUP(C330+1,[2]基因升级!$E$141:$E$500,[2]基因升级!$D$141:$D$500)-1,AG329)</f>
        <v>90</v>
      </c>
      <c r="AH330" s="19">
        <v>7</v>
      </c>
      <c r="AI330" s="19">
        <f t="shared" si="142"/>
        <v>9.2039189417803</v>
      </c>
      <c r="AJ330" s="19">
        <f t="shared" si="154"/>
        <v>0</v>
      </c>
      <c r="AK330" s="269">
        <v>1.864</v>
      </c>
      <c r="AL330" s="287">
        <f t="shared" si="124"/>
        <v>9.91999999999996</v>
      </c>
      <c r="AM330" s="287">
        <f t="shared" si="125"/>
        <v>6.32</v>
      </c>
      <c r="AN330" s="293"/>
      <c r="AQ330" s="19">
        <f t="shared" si="143"/>
        <v>1.95653253724102</v>
      </c>
      <c r="AR330" s="19">
        <f t="shared" si="144"/>
        <v>1.53357660603858</v>
      </c>
      <c r="AS330" s="19">
        <f t="shared" si="145"/>
        <v>1</v>
      </c>
      <c r="AT330" s="19">
        <f t="shared" si="146"/>
        <v>1</v>
      </c>
      <c r="AU330" s="19">
        <f t="shared" si="147"/>
        <v>1</v>
      </c>
      <c r="AV330" s="232">
        <f t="shared" si="127"/>
        <v>0.0399999999999991</v>
      </c>
      <c r="AW330" s="232">
        <f t="shared" si="128"/>
        <v>0.04</v>
      </c>
      <c r="AX330" s="232">
        <f t="shared" si="129"/>
        <v>0</v>
      </c>
      <c r="AY330" s="232">
        <f t="shared" si="130"/>
        <v>0</v>
      </c>
      <c r="AZ330" s="232">
        <f t="shared" si="131"/>
        <v>0</v>
      </c>
    </row>
    <row r="331" spans="1:52">
      <c r="A331" s="269"/>
      <c r="C331" s="19">
        <v>208</v>
      </c>
      <c r="D331" s="86">
        <f ca="1" t="shared" si="155"/>
        <v>176.287933452261</v>
      </c>
      <c r="E331" s="251">
        <f ca="1" t="shared" si="132"/>
        <v>0.373474473785007</v>
      </c>
      <c r="F331" s="269">
        <f ca="1" t="shared" si="148"/>
        <v>320.909768447518</v>
      </c>
      <c r="G331" s="283">
        <f ca="1" t="shared" si="149"/>
        <v>119.851606903406</v>
      </c>
      <c r="H331" s="279">
        <f ca="1" t="shared" si="150"/>
        <v>0.224409123969878</v>
      </c>
      <c r="I331" s="269">
        <f ca="1">SUM($J$125:J331)/SUM($H$125:H331)</f>
        <v>0.575064595904951</v>
      </c>
      <c r="J331" s="284">
        <f t="shared" si="156"/>
        <v>0.10375476826956</v>
      </c>
      <c r="K331" s="19">
        <f t="shared" si="158"/>
        <v>21700</v>
      </c>
      <c r="L331" s="269">
        <f t="shared" si="151"/>
        <v>2.08499999999998</v>
      </c>
      <c r="M331" s="226">
        <f ca="1" t="shared" si="152"/>
        <v>32.472</v>
      </c>
      <c r="N331" s="280">
        <f ca="1" t="shared" si="157"/>
        <v>0.120654355700289</v>
      </c>
      <c r="O331" s="226">
        <f t="shared" si="161"/>
        <v>13.2</v>
      </c>
      <c r="P331" s="19">
        <f ca="1" t="shared" si="126"/>
        <v>15.6</v>
      </c>
      <c r="Q331" s="226">
        <f ca="1" t="shared" si="160"/>
        <v>2.46</v>
      </c>
      <c r="R331" s="269">
        <f ca="1" t="shared" si="133"/>
        <v>0.566854431191188</v>
      </c>
      <c r="S331" s="266">
        <f ca="1" t="shared" si="134"/>
        <v>53.2530741934752</v>
      </c>
      <c r="T331" s="226">
        <f ca="1">(1+OFFSET('玩法产出(新)'!$C$18,MATCH(X331,'玩法产出(新)'!$B$19:$B$25,0),1)*(1-V331)+OFFSET('玩法产出(新)'!$C$18,1+MATCH(X331,'玩法产出(新)'!$B$19:$B$25,0),1)*(V331))^AA331*(1+OFFSET('玩法产出(新)'!$C$18,MATCH(X331,'玩法产出(新)'!$B$19:$B$25,0),3)*(1-V331)+OFFSET('玩法产出(新)'!$C$18,1+MATCH(X331,'玩法产出(新)'!$B$19:$B$25,0),3)*(V331))^AB331*(1+OFFSET('玩法产出(新)'!$C$18,MATCH(X331,'玩法产出(新)'!$B$19:$B$25,0),4)*(1-V331)+OFFSET('玩法产出(新)'!$C$18,1+MATCH(X331,'玩法产出(新)'!$B$19:$B$25,0),4)*(V331))^AC331*(1+OFFSET('玩法产出(新)'!$C$18,MATCH(X331,'玩法产出(新)'!$B$19:$B$25,0),5)*(1+V331)+OFFSET('玩法产出(新)'!$C$18,1+MATCH(X331,'玩法产出(新)'!$B$19:$B$25,5),1)*(V331))^AD331*(1+OFFSET('玩法产出(新)'!$C$18,MATCH(X331,'玩法产出(新)'!$B$19:$B$25,0),6)*(1+V331)+OFFSET('玩法产出(新)'!$C$18,1+MATCH(X331,'玩法产出(新)'!$B$19:$B$25,0),6)*(V331))^AE331</f>
        <v>36.7093329669161</v>
      </c>
      <c r="U331" s="226">
        <f ca="1" t="shared" si="153"/>
        <v>0.149065349815159</v>
      </c>
      <c r="V331" s="226">
        <f ca="1">COUNTIF($X$124:$X331,X331)/(COUNTIF($X$124:$X$723,X331)+1)</f>
        <v>0.189690721649485</v>
      </c>
      <c r="W331" s="19">
        <v>30</v>
      </c>
      <c r="X331" s="19" t="s">
        <v>326</v>
      </c>
      <c r="Y331" s="19">
        <f t="shared" si="159"/>
        <v>21960</v>
      </c>
      <c r="Z331" s="19">
        <f ca="1" t="shared" si="135"/>
        <v>1.27789093333333</v>
      </c>
      <c r="AA331" s="282">
        <f ca="1" t="shared" si="136"/>
        <v>7.62521041666667</v>
      </c>
      <c r="AB331" s="282">
        <f ca="1" t="shared" si="137"/>
        <v>16.5114583333333</v>
      </c>
      <c r="AC331" s="282">
        <f ca="1" t="shared" si="138"/>
        <v>4.4673</v>
      </c>
      <c r="AD331" s="282">
        <f ca="1" t="shared" si="139"/>
        <v>1.116825</v>
      </c>
      <c r="AE331" s="282">
        <f ca="1" t="shared" si="140"/>
        <v>0.27920625</v>
      </c>
      <c r="AF331" s="19" t="str">
        <f t="shared" si="141"/>
        <v>粉2</v>
      </c>
      <c r="AG331" s="19">
        <f>IFERROR(_xlfn.XLOOKUP(C331+1,[2]基因升级!$E$141:$E$500,[2]基因升级!$D$141:$D$500)-1,AG330)</f>
        <v>90</v>
      </c>
      <c r="AH331" s="19">
        <v>7</v>
      </c>
      <c r="AI331" s="19">
        <f t="shared" si="142"/>
        <v>9.2039189417803</v>
      </c>
      <c r="AJ331" s="19">
        <f t="shared" si="154"/>
        <v>0</v>
      </c>
      <c r="AK331" s="269">
        <v>1.864</v>
      </c>
      <c r="AL331" s="287">
        <f t="shared" si="124"/>
        <v>9.95999999999996</v>
      </c>
      <c r="AM331" s="287">
        <f t="shared" si="125"/>
        <v>6.36</v>
      </c>
      <c r="AN331" s="293"/>
      <c r="AQ331" s="19">
        <f t="shared" si="143"/>
        <v>1.96183476271955</v>
      </c>
      <c r="AR331" s="19">
        <f t="shared" si="144"/>
        <v>1.53773261612226</v>
      </c>
      <c r="AS331" s="19">
        <f t="shared" si="145"/>
        <v>1</v>
      </c>
      <c r="AT331" s="19">
        <f t="shared" si="146"/>
        <v>1</v>
      </c>
      <c r="AU331" s="19">
        <f t="shared" si="147"/>
        <v>1</v>
      </c>
      <c r="AV331" s="232">
        <f t="shared" si="127"/>
        <v>0.0399999999999991</v>
      </c>
      <c r="AW331" s="232">
        <f t="shared" si="128"/>
        <v>0.04</v>
      </c>
      <c r="AX331" s="232">
        <f t="shared" si="129"/>
        <v>0</v>
      </c>
      <c r="AY331" s="232">
        <f t="shared" si="130"/>
        <v>0</v>
      </c>
      <c r="AZ331" s="232">
        <f t="shared" si="131"/>
        <v>0</v>
      </c>
    </row>
    <row r="332" spans="1:52">
      <c r="A332" s="269"/>
      <c r="C332" s="19">
        <v>209</v>
      </c>
      <c r="D332" s="86">
        <f ca="1" t="shared" si="155"/>
        <v>176.660230902311</v>
      </c>
      <c r="E332" s="251">
        <f ca="1" t="shared" si="132"/>
        <v>0.372297450049744</v>
      </c>
      <c r="F332" s="269">
        <f ca="1" t="shared" si="148"/>
        <v>322.52340209729</v>
      </c>
      <c r="G332" s="283">
        <f ca="1" t="shared" si="149"/>
        <v>120.074640182189</v>
      </c>
      <c r="H332" s="279">
        <f ca="1" t="shared" si="150"/>
        <v>0.223033278783916</v>
      </c>
      <c r="I332" s="269">
        <f ca="1">SUM($J$125:J332)/SUM($H$125:H332)</f>
        <v>0.574838361686539</v>
      </c>
      <c r="J332" s="284">
        <f t="shared" si="156"/>
        <v>0.10335589214867</v>
      </c>
      <c r="K332" s="19">
        <f t="shared" si="158"/>
        <v>21800</v>
      </c>
      <c r="L332" s="269">
        <f t="shared" si="151"/>
        <v>2.08999999999998</v>
      </c>
      <c r="M332" s="226">
        <f ca="1" t="shared" si="152"/>
        <v>32.736</v>
      </c>
      <c r="N332" s="280">
        <f ca="1" t="shared" si="157"/>
        <v>0.119677386635253</v>
      </c>
      <c r="O332" s="226">
        <f t="shared" si="161"/>
        <v>13.2</v>
      </c>
      <c r="P332" s="19">
        <f ca="1" t="shared" si="126"/>
        <v>15.8</v>
      </c>
      <c r="Q332" s="226">
        <f ca="1" t="shared" si="160"/>
        <v>2.48</v>
      </c>
      <c r="R332" s="269">
        <f ca="1" t="shared" si="133"/>
        <v>0.56844327950054</v>
      </c>
      <c r="S332" s="266">
        <f ca="1" t="shared" si="134"/>
        <v>53.402338364741</v>
      </c>
      <c r="T332" s="226">
        <f ca="1">(1+OFFSET('玩法产出(新)'!$C$18,MATCH(X332,'玩法产出(新)'!$B$19:$B$25,0),1)*(1-V332)+OFFSET('玩法产出(新)'!$C$18,1+MATCH(X332,'玩法产出(新)'!$B$19:$B$25,0),1)*(V332))^AA332*(1+OFFSET('玩法产出(新)'!$C$18,MATCH(X332,'玩法产出(新)'!$B$19:$B$25,0),3)*(1-V332)+OFFSET('玩法产出(新)'!$C$18,1+MATCH(X332,'玩法产出(新)'!$B$19:$B$25,0),3)*(V332))^AB332*(1+OFFSET('玩法产出(新)'!$C$18,MATCH(X332,'玩法产出(新)'!$B$19:$B$25,0),4)*(1-V332)+OFFSET('玩法产出(新)'!$C$18,1+MATCH(X332,'玩法产出(新)'!$B$19:$B$25,0),4)*(V332))^AC332*(1+OFFSET('玩法产出(新)'!$C$18,MATCH(X332,'玩法产出(新)'!$B$19:$B$25,0),5)*(1+V332)+OFFSET('玩法产出(新)'!$C$18,1+MATCH(X332,'玩法产出(新)'!$B$19:$B$25,5),1)*(V332))^AD332*(1+OFFSET('玩法产出(新)'!$C$18,MATCH(X332,'玩法产出(新)'!$B$19:$B$25,0),6)*(1+V332)+OFFSET('玩法产出(新)'!$C$18,1+MATCH(X332,'玩法产出(新)'!$B$19:$B$25,0),6)*(V332))^AE332</f>
        <v>37.0819392754589</v>
      </c>
      <c r="U332" s="226">
        <f ca="1" t="shared" si="153"/>
        <v>0.149264171265822</v>
      </c>
      <c r="V332" s="226">
        <f ca="1">COUNTIF($X$124:$X332,X332)/(COUNTIF($X$124:$X$723,X332)+1)</f>
        <v>0.191752577319588</v>
      </c>
      <c r="W332" s="19">
        <v>30</v>
      </c>
      <c r="X332" s="19" t="s">
        <v>326</v>
      </c>
      <c r="Y332" s="19">
        <f t="shared" si="159"/>
        <v>22060</v>
      </c>
      <c r="Z332" s="19">
        <f ca="1" t="shared" si="135"/>
        <v>1.26179280266323</v>
      </c>
      <c r="AA332" s="282">
        <f ca="1" t="shared" si="136"/>
        <v>7.52544895833333</v>
      </c>
      <c r="AB332" s="282">
        <f ca="1" t="shared" si="137"/>
        <v>16.5838541666667</v>
      </c>
      <c r="AC332" s="282">
        <f ca="1" t="shared" si="138"/>
        <v>4.48815</v>
      </c>
      <c r="AD332" s="282">
        <f ca="1" t="shared" si="139"/>
        <v>1.1220375</v>
      </c>
      <c r="AE332" s="282">
        <f ca="1" t="shared" si="140"/>
        <v>0.280509375</v>
      </c>
      <c r="AF332" s="19" t="str">
        <f t="shared" si="141"/>
        <v>粉2</v>
      </c>
      <c r="AG332" s="19">
        <f>IFERROR(_xlfn.XLOOKUP(C332+1,[2]基因升级!$E$141:$E$500,[2]基因升级!$D$141:$D$500)-1,AG331)</f>
        <v>90</v>
      </c>
      <c r="AH332" s="19">
        <v>7</v>
      </c>
      <c r="AI332" s="19">
        <f t="shared" si="142"/>
        <v>9.2039189417803</v>
      </c>
      <c r="AJ332" s="19">
        <f t="shared" si="154"/>
        <v>0</v>
      </c>
      <c r="AK332" s="269">
        <v>1.864</v>
      </c>
      <c r="AL332" s="287">
        <f t="shared" si="124"/>
        <v>9.99999999999996</v>
      </c>
      <c r="AM332" s="287">
        <f t="shared" si="125"/>
        <v>6.4</v>
      </c>
      <c r="AN332" s="293"/>
      <c r="AQ332" s="19">
        <f t="shared" si="143"/>
        <v>1.96715135728956</v>
      </c>
      <c r="AR332" s="19">
        <f t="shared" si="144"/>
        <v>1.54189988904063</v>
      </c>
      <c r="AS332" s="19">
        <f t="shared" si="145"/>
        <v>1</v>
      </c>
      <c r="AT332" s="19">
        <f t="shared" si="146"/>
        <v>1</v>
      </c>
      <c r="AU332" s="19">
        <f t="shared" si="147"/>
        <v>1</v>
      </c>
      <c r="AV332" s="232">
        <f t="shared" si="127"/>
        <v>0.0399999999999991</v>
      </c>
      <c r="AW332" s="232">
        <f t="shared" si="128"/>
        <v>0.04</v>
      </c>
      <c r="AX332" s="232">
        <f t="shared" si="129"/>
        <v>0</v>
      </c>
      <c r="AY332" s="232">
        <f t="shared" si="130"/>
        <v>0</v>
      </c>
      <c r="AZ332" s="232">
        <f t="shared" si="131"/>
        <v>0</v>
      </c>
    </row>
    <row r="333" spans="1:52">
      <c r="A333" s="269"/>
      <c r="C333" s="19">
        <v>210</v>
      </c>
      <c r="D333" s="86">
        <f ca="1" t="shared" si="155"/>
        <v>177.031370201294</v>
      </c>
      <c r="E333" s="251">
        <f ca="1" t="shared" si="132"/>
        <v>0.371139298982879</v>
      </c>
      <c r="F333" s="269">
        <f ca="1" t="shared" si="148"/>
        <v>324.127132101744</v>
      </c>
      <c r="G333" s="283">
        <f ca="1" t="shared" si="149"/>
        <v>120.296316589572</v>
      </c>
      <c r="H333" s="279">
        <f ca="1" t="shared" si="150"/>
        <v>0.221676407382901</v>
      </c>
      <c r="I333" s="269">
        <f ca="1">SUM($J$125:J333)/SUM($H$125:H333)</f>
        <v>0.574616524654027</v>
      </c>
      <c r="J333" s="284">
        <f t="shared" si="156"/>
        <v>0.102960295275324</v>
      </c>
      <c r="K333" s="19">
        <f t="shared" si="158"/>
        <v>21900</v>
      </c>
      <c r="L333" s="269">
        <f t="shared" si="151"/>
        <v>2.09499999999998</v>
      </c>
      <c r="M333" s="226">
        <f ca="1" t="shared" si="152"/>
        <v>33</v>
      </c>
      <c r="N333" s="280">
        <f ca="1" t="shared" si="157"/>
        <v>0.11871611210757</v>
      </c>
      <c r="O333" s="226">
        <f t="shared" si="161"/>
        <v>13.2</v>
      </c>
      <c r="P333" s="19">
        <f ca="1" t="shared" si="126"/>
        <v>16</v>
      </c>
      <c r="Q333" s="226">
        <f ca="1" t="shared" si="160"/>
        <v>2.5</v>
      </c>
      <c r="R333" s="269">
        <f ca="1" t="shared" si="133"/>
        <v>0.570034243096262</v>
      </c>
      <c r="S333" s="266">
        <f ca="1" t="shared" si="134"/>
        <v>53.551801256341</v>
      </c>
      <c r="T333" s="226">
        <f ca="1">(1+OFFSET('玩法产出(新)'!$C$18,MATCH(X333,'玩法产出(新)'!$B$19:$B$25,0),1)*(1-V333)+OFFSET('玩法产出(新)'!$C$18,1+MATCH(X333,'玩法产出(新)'!$B$19:$B$25,0),1)*(V333))^AA333*(1+OFFSET('玩法产出(新)'!$C$18,MATCH(X333,'玩法产出(新)'!$B$19:$B$25,0),3)*(1-V333)+OFFSET('玩法产出(新)'!$C$18,1+MATCH(X333,'玩法产出(新)'!$B$19:$B$25,0),3)*(V333))^AB333*(1+OFFSET('玩法产出(新)'!$C$18,MATCH(X333,'玩法产出(新)'!$B$19:$B$25,0),4)*(1-V333)+OFFSET('玩法产出(新)'!$C$18,1+MATCH(X333,'玩法产出(新)'!$B$19:$B$25,0),4)*(V333))^AC333*(1+OFFSET('玩法产出(新)'!$C$18,MATCH(X333,'玩法产出(新)'!$B$19:$B$25,0),5)*(1+V333)+OFFSET('玩法产出(新)'!$C$18,1+MATCH(X333,'玩法产出(新)'!$B$19:$B$25,5),1)*(V333))^AD333*(1+OFFSET('玩法产出(新)'!$C$18,MATCH(X333,'玩法产出(新)'!$B$19:$B$25,0),6)*(1+V333)+OFFSET('玩法产出(新)'!$C$18,1+MATCH(X333,'玩法产出(新)'!$B$19:$B$25,0),6)*(V333))^AE333</f>
        <v>37.4588312410011</v>
      </c>
      <c r="U333" s="226">
        <f ca="1" t="shared" si="153"/>
        <v>0.149462891599984</v>
      </c>
      <c r="V333" s="226">
        <f ca="1">COUNTIF($X$124:$X333,X333)/(COUNTIF($X$124:$X$723,X333)+1)</f>
        <v>0.193814432989691</v>
      </c>
      <c r="W333" s="19">
        <v>30</v>
      </c>
      <c r="X333" s="19" t="s">
        <v>326</v>
      </c>
      <c r="Y333" s="19">
        <f t="shared" si="159"/>
        <v>22160</v>
      </c>
      <c r="Z333" s="19">
        <f ca="1" t="shared" si="135"/>
        <v>1.24567821649485</v>
      </c>
      <c r="AA333" s="282">
        <f ca="1" t="shared" si="136"/>
        <v>7.4256875</v>
      </c>
      <c r="AB333" s="282">
        <f ca="1" t="shared" si="137"/>
        <v>16.65625</v>
      </c>
      <c r="AC333" s="282">
        <f ca="1" t="shared" si="138"/>
        <v>4.509</v>
      </c>
      <c r="AD333" s="282">
        <f ca="1" t="shared" si="139"/>
        <v>1.12725</v>
      </c>
      <c r="AE333" s="282">
        <f ca="1" t="shared" si="140"/>
        <v>0.2818125</v>
      </c>
      <c r="AF333" s="19" t="str">
        <f t="shared" si="141"/>
        <v>粉2</v>
      </c>
      <c r="AG333" s="19">
        <f>IFERROR(_xlfn.XLOOKUP(C333+1,[2]基因升级!$E$141:$E$500,[2]基因升级!$D$141:$D$500)-1,AG332)</f>
        <v>90</v>
      </c>
      <c r="AH333" s="19">
        <v>7</v>
      </c>
      <c r="AI333" s="19">
        <f t="shared" si="142"/>
        <v>9.2039189417803</v>
      </c>
      <c r="AJ333" s="19">
        <f t="shared" si="154"/>
        <v>0</v>
      </c>
      <c r="AK333" s="269">
        <v>1.864</v>
      </c>
      <c r="AL333" s="287">
        <f t="shared" si="124"/>
        <v>10.04</v>
      </c>
      <c r="AM333" s="287">
        <f t="shared" si="125"/>
        <v>6.44</v>
      </c>
      <c r="AN333" s="293"/>
      <c r="AQ333" s="19">
        <f t="shared" si="143"/>
        <v>1.97248235989146</v>
      </c>
      <c r="AR333" s="19">
        <f t="shared" si="144"/>
        <v>1.54607845531612</v>
      </c>
      <c r="AS333" s="19">
        <f t="shared" si="145"/>
        <v>1</v>
      </c>
      <c r="AT333" s="19">
        <f t="shared" si="146"/>
        <v>1</v>
      </c>
      <c r="AU333" s="19">
        <f t="shared" si="147"/>
        <v>1</v>
      </c>
      <c r="AV333" s="232">
        <f t="shared" si="127"/>
        <v>0.0399999999999991</v>
      </c>
      <c r="AW333" s="232">
        <f t="shared" si="128"/>
        <v>0.04</v>
      </c>
      <c r="AX333" s="232">
        <f t="shared" si="129"/>
        <v>0</v>
      </c>
      <c r="AY333" s="232">
        <f t="shared" si="130"/>
        <v>0</v>
      </c>
      <c r="AZ333" s="232">
        <f t="shared" si="131"/>
        <v>0</v>
      </c>
    </row>
    <row r="334" spans="1:52">
      <c r="A334" s="269"/>
      <c r="C334" s="19">
        <v>211</v>
      </c>
      <c r="D334" s="86">
        <f ca="1" t="shared" si="155"/>
        <v>177.401369804665</v>
      </c>
      <c r="E334" s="251">
        <f ca="1" t="shared" si="132"/>
        <v>0.36999960337073</v>
      </c>
      <c r="F334" s="269">
        <f ca="1" t="shared" si="148"/>
        <v>325.72103749321</v>
      </c>
      <c r="G334" s="283">
        <f ca="1" t="shared" si="149"/>
        <v>120.516654681991</v>
      </c>
      <c r="H334" s="279">
        <f ca="1" t="shared" si="150"/>
        <v>0.220338092418203</v>
      </c>
      <c r="I334" s="269">
        <f ca="1">SUM($J$125:J334)/SUM($H$125:H334)</f>
        <v>0.574398983021897</v>
      </c>
      <c r="J334" s="284">
        <f t="shared" si="156"/>
        <v>0.102567935477197</v>
      </c>
      <c r="K334" s="19">
        <f t="shared" si="158"/>
        <v>22000</v>
      </c>
      <c r="L334" s="269">
        <f t="shared" si="151"/>
        <v>2.09999999999998</v>
      </c>
      <c r="M334" s="226">
        <f ca="1" t="shared" si="152"/>
        <v>33.264</v>
      </c>
      <c r="N334" s="280">
        <f ca="1" t="shared" si="157"/>
        <v>0.117770156940999</v>
      </c>
      <c r="O334" s="226">
        <f t="shared" si="161"/>
        <v>13.2</v>
      </c>
      <c r="P334" s="19">
        <f ca="1" t="shared" si="126"/>
        <v>16.2</v>
      </c>
      <c r="Q334" s="226">
        <f ca="1" t="shared" si="160"/>
        <v>2.52</v>
      </c>
      <c r="R334" s="269">
        <f ca="1" t="shared" si="133"/>
        <v>0.571627320903451</v>
      </c>
      <c r="S334" s="266">
        <f ca="1" t="shared" si="134"/>
        <v>53.7014627672935</v>
      </c>
      <c r="T334" s="226">
        <f ca="1">(1+OFFSET('玩法产出(新)'!$C$18,MATCH(X334,'玩法产出(新)'!$B$19:$B$25,0),1)*(1-V334)+OFFSET('玩法产出(新)'!$C$18,1+MATCH(X334,'玩法产出(新)'!$B$19:$B$25,0),1)*(V334))^AA334*(1+OFFSET('玩法产出(新)'!$C$18,MATCH(X334,'玩法产出(新)'!$B$19:$B$25,0),3)*(1-V334)+OFFSET('玩法产出(新)'!$C$18,1+MATCH(X334,'玩法产出(新)'!$B$19:$B$25,0),3)*(V334))^AB334*(1+OFFSET('玩法产出(新)'!$C$18,MATCH(X334,'玩法产出(新)'!$B$19:$B$25,0),4)*(1-V334)+OFFSET('玩法产出(新)'!$C$18,1+MATCH(X334,'玩法产出(新)'!$B$19:$B$25,0),4)*(V334))^AC334*(1+OFFSET('玩法产出(新)'!$C$18,MATCH(X334,'玩法产出(新)'!$B$19:$B$25,0),5)*(1+V334)+OFFSET('玩法产出(新)'!$C$18,1+MATCH(X334,'玩法产出(新)'!$B$19:$B$25,5),1)*(V334))^AD334*(1+OFFSET('玩法产出(新)'!$C$18,MATCH(X334,'玩法产出(新)'!$B$19:$B$25,0),6)*(1+V334)+OFFSET('玩法产出(新)'!$C$18,1+MATCH(X334,'玩法产出(新)'!$B$19:$B$25,0),6)*(V334))^AE334</f>
        <v>37.8400623497115</v>
      </c>
      <c r="U334" s="226">
        <f ca="1" t="shared" si="153"/>
        <v>0.149661510952534</v>
      </c>
      <c r="V334" s="226">
        <f ca="1">COUNTIF($X$124:$X334,X334)/(COUNTIF($X$124:$X$723,X334)+1)</f>
        <v>0.195876288659794</v>
      </c>
      <c r="W334" s="19">
        <v>30</v>
      </c>
      <c r="X334" s="19" t="s">
        <v>326</v>
      </c>
      <c r="Y334" s="19">
        <f t="shared" si="159"/>
        <v>22260</v>
      </c>
      <c r="Z334" s="19">
        <f ca="1" t="shared" si="135"/>
        <v>1.22954717482818</v>
      </c>
      <c r="AA334" s="282">
        <f ca="1" t="shared" si="136"/>
        <v>7.32592604166667</v>
      </c>
      <c r="AB334" s="282">
        <f ca="1" t="shared" si="137"/>
        <v>16.7286458333333</v>
      </c>
      <c r="AC334" s="282">
        <f ca="1" t="shared" si="138"/>
        <v>4.52985</v>
      </c>
      <c r="AD334" s="282">
        <f ca="1" t="shared" si="139"/>
        <v>1.1324625</v>
      </c>
      <c r="AE334" s="282">
        <f ca="1" t="shared" si="140"/>
        <v>0.283115625</v>
      </c>
      <c r="AF334" s="19" t="str">
        <f t="shared" si="141"/>
        <v>粉2</v>
      </c>
      <c r="AG334" s="19">
        <f>IFERROR(_xlfn.XLOOKUP(C334+1,[2]基因升级!$E$141:$E$500,[2]基因升级!$D$141:$D$500)-1,AG333)</f>
        <v>90</v>
      </c>
      <c r="AH334" s="19">
        <v>7</v>
      </c>
      <c r="AI334" s="19">
        <f t="shared" si="142"/>
        <v>9.2039189417803</v>
      </c>
      <c r="AJ334" s="19">
        <f t="shared" si="154"/>
        <v>0</v>
      </c>
      <c r="AK334" s="269">
        <v>1.864</v>
      </c>
      <c r="AL334" s="287">
        <f t="shared" si="124"/>
        <v>10.08</v>
      </c>
      <c r="AM334" s="287">
        <f t="shared" si="125"/>
        <v>6.48</v>
      </c>
      <c r="AN334" s="293"/>
      <c r="AQ334" s="19">
        <f t="shared" si="143"/>
        <v>1.97782780957118</v>
      </c>
      <c r="AR334" s="19">
        <f t="shared" si="144"/>
        <v>1.55026834555384</v>
      </c>
      <c r="AS334" s="19">
        <f t="shared" si="145"/>
        <v>1</v>
      </c>
      <c r="AT334" s="19">
        <f t="shared" si="146"/>
        <v>1</v>
      </c>
      <c r="AU334" s="19">
        <f t="shared" si="147"/>
        <v>1</v>
      </c>
      <c r="AV334" s="232">
        <f t="shared" si="127"/>
        <v>0.0399999999999991</v>
      </c>
      <c r="AW334" s="232">
        <f t="shared" si="128"/>
        <v>0.04</v>
      </c>
      <c r="AX334" s="232">
        <f t="shared" si="129"/>
        <v>0</v>
      </c>
      <c r="AY334" s="232">
        <f t="shared" si="130"/>
        <v>0</v>
      </c>
      <c r="AZ334" s="232">
        <f t="shared" si="131"/>
        <v>0</v>
      </c>
    </row>
    <row r="335" spans="1:52">
      <c r="A335" s="269"/>
      <c r="C335" s="19">
        <v>212</v>
      </c>
      <c r="D335" s="86">
        <f ca="1" t="shared" si="155"/>
        <v>177.770247763268</v>
      </c>
      <c r="E335" s="251">
        <f ca="1" t="shared" si="132"/>
        <v>0.368877958602918</v>
      </c>
      <c r="F335" s="269">
        <f ca="1" t="shared" si="148"/>
        <v>327.305196191195</v>
      </c>
      <c r="G335" s="283">
        <f ca="1" t="shared" si="149"/>
        <v>120.735672611135</v>
      </c>
      <c r="H335" s="279">
        <f ca="1" t="shared" si="150"/>
        <v>0.219017929144812</v>
      </c>
      <c r="I335" s="269">
        <f ca="1">SUM($J$125:J335)/SUM($H$125:H335)</f>
        <v>0.574185638000502</v>
      </c>
      <c r="J335" s="284">
        <f t="shared" si="156"/>
        <v>0.10217877132196</v>
      </c>
      <c r="K335" s="19">
        <f t="shared" si="158"/>
        <v>22100</v>
      </c>
      <c r="L335" s="269">
        <f t="shared" si="151"/>
        <v>2.10499999999998</v>
      </c>
      <c r="M335" s="226">
        <f ca="1" t="shared" si="152"/>
        <v>33.528</v>
      </c>
      <c r="N335" s="280">
        <f ca="1" t="shared" si="157"/>
        <v>0.116839157822859</v>
      </c>
      <c r="O335" s="226">
        <f t="shared" si="161"/>
        <v>13.2</v>
      </c>
      <c r="P335" s="19">
        <f ca="1" t="shared" si="126"/>
        <v>16.4</v>
      </c>
      <c r="Q335" s="226">
        <f ca="1" t="shared" si="160"/>
        <v>2.54</v>
      </c>
      <c r="R335" s="269">
        <f ca="1" t="shared" si="133"/>
        <v>0.573222511848637</v>
      </c>
      <c r="S335" s="266">
        <f ca="1" t="shared" si="134"/>
        <v>53.8513227967516</v>
      </c>
      <c r="T335" s="226">
        <f ca="1">(1+OFFSET('玩法产出(新)'!$C$18,MATCH(X335,'玩法产出(新)'!$B$19:$B$25,0),1)*(1-V335)+OFFSET('玩法产出(新)'!$C$18,1+MATCH(X335,'玩法产出(新)'!$B$19:$B$25,0),1)*(V335))^AA335*(1+OFFSET('玩法产出(新)'!$C$18,MATCH(X335,'玩法产出(新)'!$B$19:$B$25,0),3)*(1-V335)+OFFSET('玩法产出(新)'!$C$18,1+MATCH(X335,'玩法产出(新)'!$B$19:$B$25,0),3)*(V335))^AB335*(1+OFFSET('玩法产出(新)'!$C$18,MATCH(X335,'玩法产出(新)'!$B$19:$B$25,0),4)*(1-V335)+OFFSET('玩法产出(新)'!$C$18,1+MATCH(X335,'玩法产出(新)'!$B$19:$B$25,0),4)*(V335))^AC335*(1+OFFSET('玩法产出(新)'!$C$18,MATCH(X335,'玩法产出(新)'!$B$19:$B$25,0),5)*(1+V335)+OFFSET('玩法产出(新)'!$C$18,1+MATCH(X335,'玩法产出(新)'!$B$19:$B$25,5),1)*(V335))^AD335*(1+OFFSET('玩法产出(新)'!$C$18,MATCH(X335,'玩法产出(新)'!$B$19:$B$25,0),6)*(1+V335)+OFFSET('玩法产出(新)'!$C$18,1+MATCH(X335,'玩法产出(新)'!$B$19:$B$25,0),6)*(V335))^AE335</f>
        <v>38.2256868001049</v>
      </c>
      <c r="U335" s="226">
        <f ca="1" t="shared" si="153"/>
        <v>0.149860029458098</v>
      </c>
      <c r="V335" s="226">
        <f ca="1">COUNTIF($X$124:$X335,X335)/(COUNTIF($X$124:$X$723,X335)+1)</f>
        <v>0.197938144329897</v>
      </c>
      <c r="W335" s="19">
        <v>30</v>
      </c>
      <c r="X335" s="19" t="s">
        <v>326</v>
      </c>
      <c r="Y335" s="19">
        <f t="shared" si="159"/>
        <v>22360</v>
      </c>
      <c r="Z335" s="19">
        <f ca="1" t="shared" si="135"/>
        <v>1.21339967766323</v>
      </c>
      <c r="AA335" s="282">
        <f ca="1" t="shared" si="136"/>
        <v>7.22616458333333</v>
      </c>
      <c r="AB335" s="282">
        <f ca="1" t="shared" si="137"/>
        <v>16.8010416666667</v>
      </c>
      <c r="AC335" s="282">
        <f ca="1" t="shared" si="138"/>
        <v>4.5507</v>
      </c>
      <c r="AD335" s="282">
        <f ca="1" t="shared" si="139"/>
        <v>1.137675</v>
      </c>
      <c r="AE335" s="282">
        <f ca="1" t="shared" si="140"/>
        <v>0.28441875</v>
      </c>
      <c r="AF335" s="19" t="str">
        <f t="shared" si="141"/>
        <v>粉2</v>
      </c>
      <c r="AG335" s="19">
        <f>IFERROR(_xlfn.XLOOKUP(C335+1,[2]基因升级!$E$141:$E$500,[2]基因升级!$D$141:$D$500)-1,AG334)</f>
        <v>90</v>
      </c>
      <c r="AH335" s="19">
        <v>7</v>
      </c>
      <c r="AI335" s="19">
        <f t="shared" si="142"/>
        <v>9.2039189417803</v>
      </c>
      <c r="AJ335" s="19">
        <f t="shared" si="154"/>
        <v>0</v>
      </c>
      <c r="AK335" s="269">
        <v>1.864</v>
      </c>
      <c r="AL335" s="287">
        <f t="shared" si="124"/>
        <v>10.12</v>
      </c>
      <c r="AM335" s="287">
        <f t="shared" si="125"/>
        <v>6.52</v>
      </c>
      <c r="AN335" s="293"/>
      <c r="AQ335" s="19">
        <f t="shared" si="143"/>
        <v>1.98318774548047</v>
      </c>
      <c r="AR335" s="19">
        <f t="shared" si="144"/>
        <v>1.55446959044187</v>
      </c>
      <c r="AS335" s="19">
        <f t="shared" si="145"/>
        <v>1</v>
      </c>
      <c r="AT335" s="19">
        <f t="shared" si="146"/>
        <v>1</v>
      </c>
      <c r="AU335" s="19">
        <f t="shared" si="147"/>
        <v>1</v>
      </c>
      <c r="AV335" s="232">
        <f t="shared" si="127"/>
        <v>0.0399999999999991</v>
      </c>
      <c r="AW335" s="232">
        <f t="shared" si="128"/>
        <v>0.04</v>
      </c>
      <c r="AX335" s="232">
        <f t="shared" si="129"/>
        <v>0</v>
      </c>
      <c r="AY335" s="232">
        <f t="shared" si="130"/>
        <v>0</v>
      </c>
      <c r="AZ335" s="232">
        <f t="shared" si="131"/>
        <v>0</v>
      </c>
    </row>
    <row r="336" spans="1:52">
      <c r="A336" s="269"/>
      <c r="C336" s="19">
        <v>213</v>
      </c>
      <c r="D336" s="86">
        <f ca="1" t="shared" si="155"/>
        <v>178.138021735458</v>
      </c>
      <c r="E336" s="251">
        <f ca="1" t="shared" si="132"/>
        <v>0.367773972190602</v>
      </c>
      <c r="F336" s="269">
        <f ca="1" t="shared" si="148"/>
        <v>328.87968502945</v>
      </c>
      <c r="G336" s="283">
        <f ca="1" t="shared" si="149"/>
        <v>120.953388136075</v>
      </c>
      <c r="H336" s="279">
        <f ca="1" t="shared" si="150"/>
        <v>0.217715524939635</v>
      </c>
      <c r="I336" s="269">
        <f ca="1">SUM($J$125:J336)/SUM($H$125:H336)</f>
        <v>0.573976393687379</v>
      </c>
      <c r="J336" s="284">
        <f t="shared" si="156"/>
        <v>0.101792762100807</v>
      </c>
      <c r="K336" s="19">
        <f t="shared" si="158"/>
        <v>22200</v>
      </c>
      <c r="L336" s="269">
        <f t="shared" si="151"/>
        <v>2.10999999999998</v>
      </c>
      <c r="M336" s="226">
        <f ca="1" t="shared" si="152"/>
        <v>33.792</v>
      </c>
      <c r="N336" s="280">
        <f ca="1" t="shared" si="157"/>
        <v>0.115922762838828</v>
      </c>
      <c r="O336" s="226">
        <f t="shared" si="161"/>
        <v>13.2</v>
      </c>
      <c r="P336" s="19">
        <f ca="1" t="shared" si="126"/>
        <v>16.6</v>
      </c>
      <c r="Q336" s="226">
        <f ca="1" t="shared" si="160"/>
        <v>2.56</v>
      </c>
      <c r="R336" s="269">
        <f ca="1" t="shared" si="133"/>
        <v>0.57481981485978</v>
      </c>
      <c r="S336" s="266">
        <f ca="1" t="shared" si="134"/>
        <v>54.0013812440026</v>
      </c>
      <c r="T336" s="226">
        <f ca="1">(1+OFFSET('玩法产出(新)'!$C$18,MATCH(X336,'玩法产出(新)'!$B$19:$B$25,0),1)*(1-V336)+OFFSET('玩法产出(新)'!$C$18,1+MATCH(X336,'玩法产出(新)'!$B$19:$B$25,0),1)*(V336))^AA336*(1+OFFSET('玩法产出(新)'!$C$18,MATCH(X336,'玩法产出(新)'!$B$19:$B$25,0),3)*(1-V336)+OFFSET('玩法产出(新)'!$C$18,1+MATCH(X336,'玩法产出(新)'!$B$19:$B$25,0),3)*(V336))^AB336*(1+OFFSET('玩法产出(新)'!$C$18,MATCH(X336,'玩法产出(新)'!$B$19:$B$25,0),4)*(1-V336)+OFFSET('玩法产出(新)'!$C$18,1+MATCH(X336,'玩法产出(新)'!$B$19:$B$25,0),4)*(V336))^AC336*(1+OFFSET('玩法产出(新)'!$C$18,MATCH(X336,'玩法产出(新)'!$B$19:$B$25,0),5)*(1+V336)+OFFSET('玩法产出(新)'!$C$18,1+MATCH(X336,'玩法产出(新)'!$B$19:$B$25,5),1)*(V336))^AD336*(1+OFFSET('玩法产出(新)'!$C$18,MATCH(X336,'玩法产出(新)'!$B$19:$B$25,0),6)*(1+V336)+OFFSET('玩法产出(新)'!$C$18,1+MATCH(X336,'玩法产出(新)'!$B$19:$B$25,0),6)*(V336))^AE336</f>
        <v>38.6157595130532</v>
      </c>
      <c r="U336" s="226">
        <f ca="1" t="shared" si="153"/>
        <v>0.150058447250967</v>
      </c>
      <c r="V336" s="226">
        <f ca="1">COUNTIF($X$124:$X336,X336)/(COUNTIF($X$124:$X$723,X336)+1)</f>
        <v>0.2</v>
      </c>
      <c r="W336" s="19">
        <v>30</v>
      </c>
      <c r="X336" s="19" t="s">
        <v>326</v>
      </c>
      <c r="Y336" s="19">
        <f t="shared" si="159"/>
        <v>22460</v>
      </c>
      <c r="Z336" s="19">
        <f ca="1" t="shared" si="135"/>
        <v>1.197235725</v>
      </c>
      <c r="AA336" s="282">
        <f ca="1" t="shared" si="136"/>
        <v>7.126403125</v>
      </c>
      <c r="AB336" s="282">
        <f ca="1" t="shared" si="137"/>
        <v>16.8734375</v>
      </c>
      <c r="AC336" s="282">
        <f ca="1" t="shared" si="138"/>
        <v>4.57155</v>
      </c>
      <c r="AD336" s="282">
        <f ca="1" t="shared" si="139"/>
        <v>1.1428875</v>
      </c>
      <c r="AE336" s="282">
        <f ca="1" t="shared" si="140"/>
        <v>0.285721875</v>
      </c>
      <c r="AF336" s="19" t="str">
        <f t="shared" si="141"/>
        <v>粉2</v>
      </c>
      <c r="AG336" s="19">
        <f>IFERROR(_xlfn.XLOOKUP(C336+1,[2]基因升级!$E$141:$E$500,[2]基因升级!$D$141:$D$500)-1,AG335)</f>
        <v>90</v>
      </c>
      <c r="AH336" s="19">
        <v>7</v>
      </c>
      <c r="AI336" s="19">
        <f t="shared" si="142"/>
        <v>9.2039189417803</v>
      </c>
      <c r="AJ336" s="19">
        <f t="shared" si="154"/>
        <v>0</v>
      </c>
      <c r="AK336" s="269">
        <v>1.864</v>
      </c>
      <c r="AL336" s="287">
        <f t="shared" ref="AL336:AL399" si="162">AL335+0.04</f>
        <v>10.16</v>
      </c>
      <c r="AM336" s="287">
        <f t="shared" si="125"/>
        <v>6.56</v>
      </c>
      <c r="AN336" s="293"/>
      <c r="AQ336" s="19">
        <f t="shared" si="143"/>
        <v>1.98856220687717</v>
      </c>
      <c r="AR336" s="19">
        <f t="shared" si="144"/>
        <v>1.55868222075144</v>
      </c>
      <c r="AS336" s="19">
        <f t="shared" si="145"/>
        <v>1</v>
      </c>
      <c r="AT336" s="19">
        <f t="shared" si="146"/>
        <v>1</v>
      </c>
      <c r="AU336" s="19">
        <f t="shared" si="147"/>
        <v>1</v>
      </c>
      <c r="AV336" s="232">
        <f t="shared" si="127"/>
        <v>0.0399999999999991</v>
      </c>
      <c r="AW336" s="232">
        <f t="shared" si="128"/>
        <v>0.04</v>
      </c>
      <c r="AX336" s="232">
        <f t="shared" si="129"/>
        <v>0</v>
      </c>
      <c r="AY336" s="232">
        <f t="shared" si="130"/>
        <v>0</v>
      </c>
      <c r="AZ336" s="232">
        <f t="shared" si="131"/>
        <v>0</v>
      </c>
    </row>
    <row r="337" spans="1:52">
      <c r="A337" s="269"/>
      <c r="C337" s="19">
        <v>214</v>
      </c>
      <c r="D337" s="86">
        <f ca="1" t="shared" si="155"/>
        <v>178.504708998765</v>
      </c>
      <c r="E337" s="251">
        <f ca="1" t="shared" si="132"/>
        <v>0.366687263307046</v>
      </c>
      <c r="F337" s="269">
        <f ca="1" t="shared" si="148"/>
        <v>330.444579782023</v>
      </c>
      <c r="G337" s="283">
        <f ca="1" t="shared" si="149"/>
        <v>121.169818634917</v>
      </c>
      <c r="H337" s="279">
        <f ca="1" t="shared" si="150"/>
        <v>0.216430498841959</v>
      </c>
      <c r="I337" s="269">
        <f ca="1">SUM($J$125:J337)/SUM($H$125:H337)</f>
        <v>0.573771156963267</v>
      </c>
      <c r="J337" s="284">
        <f t="shared" si="156"/>
        <v>0.101409867812556</v>
      </c>
      <c r="K337" s="19">
        <f t="shared" si="158"/>
        <v>22300</v>
      </c>
      <c r="L337" s="269">
        <f t="shared" si="151"/>
        <v>2.11499999999998</v>
      </c>
      <c r="M337" s="226">
        <f ca="1" t="shared" si="152"/>
        <v>34.056</v>
      </c>
      <c r="N337" s="280">
        <f ca="1" t="shared" si="157"/>
        <v>0.11502063102941</v>
      </c>
      <c r="O337" s="226">
        <f t="shared" si="161"/>
        <v>13.2</v>
      </c>
      <c r="P337" s="19">
        <f ca="1" t="shared" si="126"/>
        <v>16.8</v>
      </c>
      <c r="Q337" s="226">
        <f ca="1" t="shared" si="160"/>
        <v>2.58</v>
      </c>
      <c r="R337" s="269">
        <f ca="1" t="shared" si="133"/>
        <v>0.576419228866266</v>
      </c>
      <c r="S337" s="266">
        <f ca="1" t="shared" si="134"/>
        <v>54.1516380084676</v>
      </c>
      <c r="T337" s="226">
        <f ca="1">(1+OFFSET('玩法产出(新)'!$C$18,MATCH(X337,'玩法产出(新)'!$B$19:$B$25,0),1)*(1-V337)+OFFSET('玩法产出(新)'!$C$18,1+MATCH(X337,'玩法产出(新)'!$B$19:$B$25,0),1)*(V337))^AA337*(1+OFFSET('玩法产出(新)'!$C$18,MATCH(X337,'玩法产出(新)'!$B$19:$B$25,0),3)*(1-V337)+OFFSET('玩法产出(新)'!$C$18,1+MATCH(X337,'玩法产出(新)'!$B$19:$B$25,0),3)*(V337))^AB337*(1+OFFSET('玩法产出(新)'!$C$18,MATCH(X337,'玩法产出(新)'!$B$19:$B$25,0),4)*(1-V337)+OFFSET('玩法产出(新)'!$C$18,1+MATCH(X337,'玩法产出(新)'!$B$19:$B$25,0),4)*(V337))^AC337*(1+OFFSET('玩法产出(新)'!$C$18,MATCH(X337,'玩法产出(新)'!$B$19:$B$25,0),5)*(1+V337)+OFFSET('玩法产出(新)'!$C$18,1+MATCH(X337,'玩法产出(新)'!$B$19:$B$25,5),1)*(V337))^AD337*(1+OFFSET('玩法产出(新)'!$C$18,MATCH(X337,'玩法产出(新)'!$B$19:$B$25,0),6)*(1+V337)+OFFSET('玩法产出(新)'!$C$18,1+MATCH(X337,'玩法产出(新)'!$B$19:$B$25,0),6)*(V337))^AE337</f>
        <v>39.0103361419431</v>
      </c>
      <c r="U337" s="226">
        <f ca="1" t="shared" si="153"/>
        <v>0.150256764465081</v>
      </c>
      <c r="V337" s="226">
        <f ca="1">COUNTIF($X$124:$X337,X337)/(COUNTIF($X$124:$X$723,X337)+1)</f>
        <v>0.202061855670103</v>
      </c>
      <c r="W337" s="19">
        <v>30</v>
      </c>
      <c r="X337" s="19" t="s">
        <v>326</v>
      </c>
      <c r="Y337" s="19">
        <f t="shared" si="159"/>
        <v>22560</v>
      </c>
      <c r="Z337" s="19">
        <f ca="1" t="shared" si="135"/>
        <v>1.18105531683849</v>
      </c>
      <c r="AA337" s="282">
        <f ca="1" t="shared" si="136"/>
        <v>7.02664166666667</v>
      </c>
      <c r="AB337" s="282">
        <f ca="1" t="shared" si="137"/>
        <v>16.9458333333333</v>
      </c>
      <c r="AC337" s="282">
        <f ca="1" t="shared" si="138"/>
        <v>4.5924</v>
      </c>
      <c r="AD337" s="282">
        <f ca="1" t="shared" si="139"/>
        <v>1.1481</v>
      </c>
      <c r="AE337" s="282">
        <f ca="1" t="shared" si="140"/>
        <v>0.287025</v>
      </c>
      <c r="AF337" s="19" t="str">
        <f t="shared" si="141"/>
        <v>粉2</v>
      </c>
      <c r="AG337" s="19">
        <f>IFERROR(_xlfn.XLOOKUP(C337+1,[2]基因升级!$E$141:$E$500,[2]基因升级!$D$141:$D$500)-1,AG336)</f>
        <v>90</v>
      </c>
      <c r="AH337" s="19">
        <v>7</v>
      </c>
      <c r="AI337" s="19">
        <f t="shared" si="142"/>
        <v>9.2039189417803</v>
      </c>
      <c r="AJ337" s="19">
        <f t="shared" si="154"/>
        <v>0</v>
      </c>
      <c r="AK337" s="269">
        <v>1.864</v>
      </c>
      <c r="AL337" s="287">
        <f t="shared" si="162"/>
        <v>10.2</v>
      </c>
      <c r="AM337" s="287">
        <f t="shared" ref="AM337:AM400" si="163">AL247</f>
        <v>6.6</v>
      </c>
      <c r="AN337" s="293"/>
      <c r="AQ337" s="19">
        <f t="shared" si="143"/>
        <v>1.99395123312551</v>
      </c>
      <c r="AR337" s="19">
        <f t="shared" si="144"/>
        <v>1.56290626733716</v>
      </c>
      <c r="AS337" s="19">
        <f t="shared" si="145"/>
        <v>1</v>
      </c>
      <c r="AT337" s="19">
        <f t="shared" si="146"/>
        <v>1</v>
      </c>
      <c r="AU337" s="19">
        <f t="shared" si="147"/>
        <v>1</v>
      </c>
      <c r="AV337" s="232">
        <f t="shared" si="127"/>
        <v>0.0399999999999991</v>
      </c>
      <c r="AW337" s="232">
        <f t="shared" si="128"/>
        <v>0.04</v>
      </c>
      <c r="AX337" s="232">
        <f t="shared" si="129"/>
        <v>0</v>
      </c>
      <c r="AY337" s="232">
        <f t="shared" si="130"/>
        <v>0</v>
      </c>
      <c r="AZ337" s="232">
        <f t="shared" si="131"/>
        <v>0</v>
      </c>
    </row>
    <row r="338" spans="1:52">
      <c r="A338" s="269"/>
      <c r="C338" s="19">
        <v>215</v>
      </c>
      <c r="D338" s="86">
        <f ca="1" t="shared" si="155"/>
        <v>178.870326461114</v>
      </c>
      <c r="E338" s="251">
        <f ca="1" t="shared" si="132"/>
        <v>0.365617462349265</v>
      </c>
      <c r="F338" s="269">
        <f ca="1" t="shared" si="148"/>
        <v>331.999955188344</v>
      </c>
      <c r="G338" s="283">
        <f ca="1" t="shared" si="149"/>
        <v>121.384981116032</v>
      </c>
      <c r="H338" s="279">
        <f ca="1" t="shared" si="150"/>
        <v>0.215162481114959</v>
      </c>
      <c r="I338" s="269">
        <f ca="1">SUM($J$125:J338)/SUM($H$125:H338)</f>
        <v>0.573569837392606</v>
      </c>
      <c r="J338" s="284">
        <f t="shared" si="156"/>
        <v>0.101030049148058</v>
      </c>
      <c r="K338" s="19">
        <f t="shared" si="158"/>
        <v>22400</v>
      </c>
      <c r="L338" s="269">
        <f t="shared" si="151"/>
        <v>2.11999999999998</v>
      </c>
      <c r="M338" s="226">
        <f ca="1" t="shared" si="152"/>
        <v>34.32</v>
      </c>
      <c r="N338" s="280">
        <f ca="1" t="shared" si="157"/>
        <v>0.114132431966908</v>
      </c>
      <c r="O338" s="226">
        <f t="shared" si="161"/>
        <v>13.2</v>
      </c>
      <c r="P338" s="19">
        <f ca="1" t="shared" si="126"/>
        <v>17</v>
      </c>
      <c r="Q338" s="226">
        <f ca="1" t="shared" si="160"/>
        <v>2.6</v>
      </c>
      <c r="R338" s="269">
        <f ca="1" t="shared" si="133"/>
        <v>0.578020752798905</v>
      </c>
      <c r="S338" s="266">
        <f ca="1" t="shared" si="134"/>
        <v>54.3020929897019</v>
      </c>
      <c r="T338" s="226">
        <f ca="1">(1+OFFSET('玩法产出(新)'!$C$18,MATCH(X338,'玩法产出(新)'!$B$19:$B$25,0),1)*(1-V338)+OFFSET('玩法产出(新)'!$C$18,1+MATCH(X338,'玩法产出(新)'!$B$19:$B$25,0),1)*(V338))^AA338*(1+OFFSET('玩法产出(新)'!$C$18,MATCH(X338,'玩法产出(新)'!$B$19:$B$25,0),3)*(1-V338)+OFFSET('玩法产出(新)'!$C$18,1+MATCH(X338,'玩法产出(新)'!$B$19:$B$25,0),3)*(V338))^AB338*(1+OFFSET('玩法产出(新)'!$C$18,MATCH(X338,'玩法产出(新)'!$B$19:$B$25,0),4)*(1-V338)+OFFSET('玩法产出(新)'!$C$18,1+MATCH(X338,'玩法产出(新)'!$B$19:$B$25,0),4)*(V338))^AC338*(1+OFFSET('玩法产出(新)'!$C$18,MATCH(X338,'玩法产出(新)'!$B$19:$B$25,0),5)*(1+V338)+OFFSET('玩法产出(新)'!$C$18,1+MATCH(X338,'玩法产出(新)'!$B$19:$B$25,5),1)*(V338))^AD338*(1+OFFSET('玩法产出(新)'!$C$18,MATCH(X338,'玩法产出(新)'!$B$19:$B$25,0),6)*(1+V338)+OFFSET('玩法产出(新)'!$C$18,1+MATCH(X338,'玩法产出(新)'!$B$19:$B$25,0),6)*(V338))^AE338</f>
        <v>39.4094730829843</v>
      </c>
      <c r="U338" s="226">
        <f ca="1" t="shared" si="153"/>
        <v>0.150454981234298</v>
      </c>
      <c r="V338" s="226">
        <f ca="1">COUNTIF($X$124:$X338,X338)/(COUNTIF($X$124:$X$723,X338)+1)</f>
        <v>0.204123711340206</v>
      </c>
      <c r="W338" s="19">
        <v>30</v>
      </c>
      <c r="X338" s="19" t="s">
        <v>326</v>
      </c>
      <c r="Y338" s="19">
        <f t="shared" si="159"/>
        <v>22660</v>
      </c>
      <c r="Z338" s="19">
        <f ca="1" t="shared" si="135"/>
        <v>1.16485845317869</v>
      </c>
      <c r="AA338" s="282">
        <f ca="1" t="shared" si="136"/>
        <v>6.92688020833333</v>
      </c>
      <c r="AB338" s="282">
        <f ca="1" t="shared" si="137"/>
        <v>17.0182291666667</v>
      </c>
      <c r="AC338" s="282">
        <f ca="1" t="shared" si="138"/>
        <v>4.61325</v>
      </c>
      <c r="AD338" s="282">
        <f ca="1" t="shared" si="139"/>
        <v>1.1533125</v>
      </c>
      <c r="AE338" s="282">
        <f ca="1" t="shared" si="140"/>
        <v>0.288328125</v>
      </c>
      <c r="AF338" s="19" t="str">
        <f t="shared" si="141"/>
        <v>粉2</v>
      </c>
      <c r="AG338" s="19">
        <f>IFERROR(_xlfn.XLOOKUP(C338+1,[2]基因升级!$E$141:$E$500,[2]基因升级!$D$141:$D$500)-1,AG337)</f>
        <v>91</v>
      </c>
      <c r="AH338" s="19">
        <v>7</v>
      </c>
      <c r="AI338" s="19">
        <f t="shared" si="142"/>
        <v>9.2039189417803</v>
      </c>
      <c r="AJ338" s="19">
        <f t="shared" si="154"/>
        <v>0</v>
      </c>
      <c r="AK338" s="269">
        <v>1.864</v>
      </c>
      <c r="AL338" s="287">
        <f t="shared" si="162"/>
        <v>10.24</v>
      </c>
      <c r="AM338" s="287">
        <f t="shared" si="163"/>
        <v>6.64</v>
      </c>
      <c r="AN338" s="293"/>
      <c r="AQ338" s="19">
        <f t="shared" si="143"/>
        <v>1.99935486369642</v>
      </c>
      <c r="AR338" s="19">
        <f t="shared" si="144"/>
        <v>1.56714176113729</v>
      </c>
      <c r="AS338" s="19">
        <f t="shared" si="145"/>
        <v>1</v>
      </c>
      <c r="AT338" s="19">
        <f t="shared" si="146"/>
        <v>1</v>
      </c>
      <c r="AU338" s="19">
        <f t="shared" si="147"/>
        <v>1</v>
      </c>
      <c r="AV338" s="232">
        <f t="shared" si="127"/>
        <v>0.0399999999999991</v>
      </c>
      <c r="AW338" s="232">
        <f t="shared" si="128"/>
        <v>0.04</v>
      </c>
      <c r="AX338" s="232">
        <f t="shared" si="129"/>
        <v>0</v>
      </c>
      <c r="AY338" s="232">
        <f t="shared" si="130"/>
        <v>0</v>
      </c>
      <c r="AZ338" s="232">
        <f t="shared" si="131"/>
        <v>0</v>
      </c>
    </row>
    <row r="339" spans="1:52">
      <c r="A339" s="269"/>
      <c r="C339" s="19">
        <v>216</v>
      </c>
      <c r="D339" s="86">
        <f ca="1" t="shared" si="155"/>
        <v>179.234890671633</v>
      </c>
      <c r="E339" s="251">
        <f ca="1" t="shared" si="132"/>
        <v>0.364564210519028</v>
      </c>
      <c r="F339" s="269">
        <f ca="1" t="shared" si="148"/>
        <v>333.545884977956</v>
      </c>
      <c r="G339" s="283">
        <f ca="1" t="shared" si="149"/>
        <v>121.598892228859</v>
      </c>
      <c r="H339" s="279">
        <f ca="1" t="shared" si="150"/>
        <v>0.213911112827049</v>
      </c>
      <c r="I339" s="269">
        <f ca="1">SUM($J$125:J339)/SUM($H$125:H339)</f>
        <v>0.573372347128273</v>
      </c>
      <c r="J339" s="284">
        <f t="shared" si="156"/>
        <v>0.10065326747511</v>
      </c>
      <c r="K339" s="19">
        <f t="shared" si="158"/>
        <v>22500</v>
      </c>
      <c r="L339" s="269">
        <f t="shared" si="151"/>
        <v>2.12499999999998</v>
      </c>
      <c r="M339" s="226">
        <f ca="1" t="shared" si="152"/>
        <v>34.584</v>
      </c>
      <c r="N339" s="280">
        <f ca="1" t="shared" si="157"/>
        <v>0.113257845351939</v>
      </c>
      <c r="O339" s="226">
        <f t="shared" si="161"/>
        <v>13.2</v>
      </c>
      <c r="P339" s="19">
        <f ca="1" t="shared" si="126"/>
        <v>17.2</v>
      </c>
      <c r="Q339" s="226">
        <f ca="1" t="shared" si="160"/>
        <v>2.62</v>
      </c>
      <c r="R339" s="269">
        <f ca="1" t="shared" si="133"/>
        <v>0.579624385589927</v>
      </c>
      <c r="S339" s="266">
        <f ca="1" t="shared" si="134"/>
        <v>54.4527460873939</v>
      </c>
      <c r="T339" s="226">
        <f ca="1">(1+OFFSET('玩法产出(新)'!$C$18,MATCH(X339,'玩法产出(新)'!$B$19:$B$25,0),1)*(1-V339)+OFFSET('玩法产出(新)'!$C$18,1+MATCH(X339,'玩法产出(新)'!$B$19:$B$25,0),1)*(V339))^AA339*(1+OFFSET('玩法产出(新)'!$C$18,MATCH(X339,'玩法产出(新)'!$B$19:$B$25,0),3)*(1-V339)+OFFSET('玩法产出(新)'!$C$18,1+MATCH(X339,'玩法产出(新)'!$B$19:$B$25,0),3)*(V339))^AB339*(1+OFFSET('玩法产出(新)'!$C$18,MATCH(X339,'玩法产出(新)'!$B$19:$B$25,0),4)*(1-V339)+OFFSET('玩法产出(新)'!$C$18,1+MATCH(X339,'玩法产出(新)'!$B$19:$B$25,0),4)*(V339))^AC339*(1+OFFSET('玩法产出(新)'!$C$18,MATCH(X339,'玩法产出(新)'!$B$19:$B$25,0),5)*(1+V339)+OFFSET('玩法产出(新)'!$C$18,1+MATCH(X339,'玩法产出(新)'!$B$19:$B$25,5),1)*(V339))^AD339*(1+OFFSET('玩法产出(新)'!$C$18,MATCH(X339,'玩法产出(新)'!$B$19:$B$25,0),6)*(1+V339)+OFFSET('玩法产出(新)'!$C$18,1+MATCH(X339,'玩法产出(新)'!$B$19:$B$25,0),6)*(V339))^AE339</f>
        <v>39.8132274856687</v>
      </c>
      <c r="U339" s="226">
        <f ca="1" t="shared" si="153"/>
        <v>0.150653097691979</v>
      </c>
      <c r="V339" s="226">
        <f ca="1">COUNTIF($X$124:$X339,X339)/(COUNTIF($X$124:$X$723,X339)+1)</f>
        <v>0.206185567010309</v>
      </c>
      <c r="W339" s="19">
        <v>30</v>
      </c>
      <c r="X339" s="19" t="s">
        <v>326</v>
      </c>
      <c r="Y339" s="19">
        <f t="shared" si="159"/>
        <v>22760</v>
      </c>
      <c r="Z339" s="19">
        <f ca="1" t="shared" si="135"/>
        <v>1.14864513402062</v>
      </c>
      <c r="AA339" s="282">
        <f ca="1" t="shared" si="136"/>
        <v>6.82711875</v>
      </c>
      <c r="AB339" s="282">
        <f ca="1" t="shared" si="137"/>
        <v>17.090625</v>
      </c>
      <c r="AC339" s="282">
        <f ca="1" t="shared" si="138"/>
        <v>4.6341</v>
      </c>
      <c r="AD339" s="282">
        <f ca="1" t="shared" si="139"/>
        <v>1.158525</v>
      </c>
      <c r="AE339" s="282">
        <f ca="1" t="shared" si="140"/>
        <v>0.28963125</v>
      </c>
      <c r="AF339" s="19" t="str">
        <f t="shared" si="141"/>
        <v>粉2</v>
      </c>
      <c r="AG339" s="19">
        <f>IFERROR(_xlfn.XLOOKUP(C339+1,[2]基因升级!$E$141:$E$500,[2]基因升级!$D$141:$D$500)-1,AG338)</f>
        <v>91</v>
      </c>
      <c r="AH339" s="19">
        <v>7</v>
      </c>
      <c r="AI339" s="19">
        <f t="shared" si="142"/>
        <v>9.2039189417803</v>
      </c>
      <c r="AJ339" s="19">
        <f t="shared" si="154"/>
        <v>0</v>
      </c>
      <c r="AK339" s="269">
        <v>1.864</v>
      </c>
      <c r="AL339" s="287">
        <f t="shared" si="162"/>
        <v>10.28</v>
      </c>
      <c r="AM339" s="287">
        <f t="shared" si="163"/>
        <v>6.68</v>
      </c>
      <c r="AN339" s="293"/>
      <c r="AQ339" s="19">
        <f t="shared" si="143"/>
        <v>2.00477313816778</v>
      </c>
      <c r="AR339" s="19">
        <f t="shared" si="144"/>
        <v>1.57138873317389</v>
      </c>
      <c r="AS339" s="19">
        <f t="shared" si="145"/>
        <v>1</v>
      </c>
      <c r="AT339" s="19">
        <f t="shared" si="146"/>
        <v>1</v>
      </c>
      <c r="AU339" s="19">
        <f t="shared" si="147"/>
        <v>1</v>
      </c>
      <c r="AV339" s="232">
        <f t="shared" si="127"/>
        <v>0.0399999999999991</v>
      </c>
      <c r="AW339" s="232">
        <f t="shared" si="128"/>
        <v>0.04</v>
      </c>
      <c r="AX339" s="232">
        <f t="shared" si="129"/>
        <v>0</v>
      </c>
      <c r="AY339" s="232">
        <f t="shared" si="130"/>
        <v>0</v>
      </c>
      <c r="AZ339" s="232">
        <f t="shared" si="131"/>
        <v>0</v>
      </c>
    </row>
    <row r="340" spans="1:52">
      <c r="A340" s="269"/>
      <c r="C340" s="19">
        <v>217</v>
      </c>
      <c r="D340" s="86">
        <f ca="1" t="shared" si="155"/>
        <v>179.598417831057</v>
      </c>
      <c r="E340" s="251">
        <f ca="1" t="shared" si="132"/>
        <v>0.363527159423352</v>
      </c>
      <c r="F340" s="269">
        <f ca="1" t="shared" si="148"/>
        <v>335.082441893849</v>
      </c>
      <c r="G340" s="283">
        <f ca="1" t="shared" si="149"/>
        <v>121.811568274311</v>
      </c>
      <c r="H340" s="279">
        <f ca="1" t="shared" si="150"/>
        <v>0.212676045452028</v>
      </c>
      <c r="I340" s="269">
        <f ca="1">SUM($J$125:J340)/SUM($H$125:H340)</f>
        <v>0.57317860082036</v>
      </c>
      <c r="J340" s="284">
        <f t="shared" si="156"/>
        <v>0.100279484823659</v>
      </c>
      <c r="K340" s="19">
        <f t="shared" si="158"/>
        <v>22600</v>
      </c>
      <c r="L340" s="269">
        <f t="shared" si="151"/>
        <v>2.12999999999998</v>
      </c>
      <c r="M340" s="226">
        <f ca="1" t="shared" si="152"/>
        <v>34.848</v>
      </c>
      <c r="N340" s="280">
        <f ca="1" t="shared" si="157"/>
        <v>0.112396560628348</v>
      </c>
      <c r="O340" s="226">
        <f t="shared" si="161"/>
        <v>13.2</v>
      </c>
      <c r="P340" s="19">
        <f ca="1" t="shared" si="126"/>
        <v>17.4</v>
      </c>
      <c r="Q340" s="226">
        <f ca="1" t="shared" si="160"/>
        <v>2.64</v>
      </c>
      <c r="R340" s="269">
        <f ca="1" t="shared" si="133"/>
        <v>0.58123012617298</v>
      </c>
      <c r="S340" s="266">
        <f ca="1" t="shared" si="134"/>
        <v>54.6035972013653</v>
      </c>
      <c r="T340" s="226">
        <f ca="1">(1+OFFSET('玩法产出(新)'!$C$18,MATCH(X340,'玩法产出(新)'!$B$19:$B$25,0),1)*(1-V340)+OFFSET('玩法产出(新)'!$C$18,1+MATCH(X340,'玩法产出(新)'!$B$19:$B$25,0),1)*(V340))^AA340*(1+OFFSET('玩法产出(新)'!$C$18,MATCH(X340,'玩法产出(新)'!$B$19:$B$25,0),3)*(1-V340)+OFFSET('玩法产出(新)'!$C$18,1+MATCH(X340,'玩法产出(新)'!$B$19:$B$25,0),3)*(V340))^AB340*(1+OFFSET('玩法产出(新)'!$C$18,MATCH(X340,'玩法产出(新)'!$B$19:$B$25,0),4)*(1-V340)+OFFSET('玩法产出(新)'!$C$18,1+MATCH(X340,'玩法产出(新)'!$B$19:$B$25,0),4)*(V340))^AC340*(1+OFFSET('玩法产出(新)'!$C$18,MATCH(X340,'玩法产出(新)'!$B$19:$B$25,0),5)*(1+V340)+OFFSET('玩法产出(新)'!$C$18,1+MATCH(X340,'玩法产出(新)'!$B$19:$B$25,5),1)*(V340))^AD340*(1+OFFSET('玩法产出(新)'!$C$18,MATCH(X340,'玩法产出(新)'!$B$19:$B$25,0),6)*(1+V340)+OFFSET('玩法产出(新)'!$C$18,1+MATCH(X340,'玩法产出(新)'!$B$19:$B$25,0),6)*(V340))^AE340</f>
        <v>40.2216572633845</v>
      </c>
      <c r="U340" s="226">
        <f ca="1" t="shared" si="153"/>
        <v>0.150851113971345</v>
      </c>
      <c r="V340" s="226">
        <f ca="1">COUNTIF($X$124:$X340,X340)/(COUNTIF($X$124:$X$723,X340)+1)</f>
        <v>0.208247422680412</v>
      </c>
      <c r="W340" s="19">
        <v>30</v>
      </c>
      <c r="X340" s="19" t="s">
        <v>326</v>
      </c>
      <c r="Y340" s="19">
        <f t="shared" si="159"/>
        <v>22860</v>
      </c>
      <c r="Z340" s="19">
        <f ca="1" t="shared" si="135"/>
        <v>1.13241535936426</v>
      </c>
      <c r="AA340" s="282">
        <f ca="1" t="shared" si="136"/>
        <v>6.72735729166667</v>
      </c>
      <c r="AB340" s="282">
        <f ca="1" t="shared" si="137"/>
        <v>17.1630208333333</v>
      </c>
      <c r="AC340" s="282">
        <f ca="1" t="shared" si="138"/>
        <v>4.65495</v>
      </c>
      <c r="AD340" s="282">
        <f ca="1" t="shared" si="139"/>
        <v>1.1637375</v>
      </c>
      <c r="AE340" s="282">
        <f ca="1" t="shared" si="140"/>
        <v>0.290934375</v>
      </c>
      <c r="AF340" s="19" t="str">
        <f t="shared" si="141"/>
        <v>粉2</v>
      </c>
      <c r="AG340" s="19">
        <f>IFERROR(_xlfn.XLOOKUP(C340+1,[2]基因升级!$E$141:$E$500,[2]基因升级!$D$141:$D$500)-1,AG339)</f>
        <v>91</v>
      </c>
      <c r="AH340" s="19">
        <v>7</v>
      </c>
      <c r="AI340" s="19">
        <f t="shared" si="142"/>
        <v>9.2039189417803</v>
      </c>
      <c r="AJ340" s="19">
        <f t="shared" si="154"/>
        <v>0</v>
      </c>
      <c r="AK340" s="269">
        <v>1.864</v>
      </c>
      <c r="AL340" s="287">
        <f t="shared" si="162"/>
        <v>10.32</v>
      </c>
      <c r="AM340" s="287">
        <f t="shared" si="163"/>
        <v>6.72</v>
      </c>
      <c r="AN340" s="293"/>
      <c r="AQ340" s="19">
        <f t="shared" si="143"/>
        <v>2.01020609622471</v>
      </c>
      <c r="AR340" s="19">
        <f t="shared" si="144"/>
        <v>1.57564721455312</v>
      </c>
      <c r="AS340" s="19">
        <f t="shared" si="145"/>
        <v>1</v>
      </c>
      <c r="AT340" s="19">
        <f t="shared" si="146"/>
        <v>1</v>
      </c>
      <c r="AU340" s="19">
        <f t="shared" si="147"/>
        <v>1</v>
      </c>
      <c r="AV340" s="232">
        <f t="shared" si="127"/>
        <v>0.0399999999999991</v>
      </c>
      <c r="AW340" s="232">
        <f t="shared" si="128"/>
        <v>0.04</v>
      </c>
      <c r="AX340" s="232">
        <f t="shared" si="129"/>
        <v>0</v>
      </c>
      <c r="AY340" s="232">
        <f t="shared" si="130"/>
        <v>0</v>
      </c>
      <c r="AZ340" s="232">
        <f t="shared" si="131"/>
        <v>0</v>
      </c>
    </row>
    <row r="341" spans="1:52">
      <c r="A341" s="269"/>
      <c r="C341" s="19">
        <v>218</v>
      </c>
      <c r="D341" s="86">
        <f ca="1" t="shared" si="155"/>
        <v>179.960923801749</v>
      </c>
      <c r="E341" s="251">
        <f ca="1" t="shared" si="132"/>
        <v>0.362505970692143</v>
      </c>
      <c r="F341" s="269">
        <f ca="1" t="shared" si="148"/>
        <v>336.609697715643</v>
      </c>
      <c r="G341" s="283">
        <f ca="1" t="shared" si="149"/>
        <v>122.023025214798</v>
      </c>
      <c r="H341" s="279">
        <f ca="1" t="shared" si="150"/>
        <v>0.211456940486926</v>
      </c>
      <c r="I341" s="269">
        <f ca="1">SUM($J$125:J341)/SUM($H$125:H341)</f>
        <v>0.572988515528789</v>
      </c>
      <c r="J341" s="284">
        <f t="shared" si="156"/>
        <v>0.0999086638715028</v>
      </c>
      <c r="K341" s="19">
        <f t="shared" si="158"/>
        <v>22700</v>
      </c>
      <c r="L341" s="269">
        <f t="shared" si="151"/>
        <v>2.13499999999998</v>
      </c>
      <c r="M341" s="226">
        <f ca="1" t="shared" si="152"/>
        <v>35.112</v>
      </c>
      <c r="N341" s="280">
        <f ca="1" t="shared" si="157"/>
        <v>0.11154827661543</v>
      </c>
      <c r="O341" s="226">
        <f t="shared" si="161"/>
        <v>13.2</v>
      </c>
      <c r="P341" s="19">
        <f ca="1" t="shared" si="126"/>
        <v>17.6</v>
      </c>
      <c r="Q341" s="226">
        <f ca="1" t="shared" si="160"/>
        <v>2.66</v>
      </c>
      <c r="R341" s="269">
        <f ca="1" t="shared" si="133"/>
        <v>0.582837973483125</v>
      </c>
      <c r="S341" s="266">
        <f ca="1" t="shared" si="134"/>
        <v>54.7546462315705</v>
      </c>
      <c r="T341" s="226">
        <f ca="1">(1+OFFSET('玩法产出(新)'!$C$18,MATCH(X341,'玩法产出(新)'!$B$19:$B$25,0),1)*(1-V341)+OFFSET('玩法产出(新)'!$C$18,1+MATCH(X341,'玩法产出(新)'!$B$19:$B$25,0),1)*(V341))^AA341*(1+OFFSET('玩法产出(新)'!$C$18,MATCH(X341,'玩法产出(新)'!$B$19:$B$25,0),3)*(1-V341)+OFFSET('玩法产出(新)'!$C$18,1+MATCH(X341,'玩法产出(新)'!$B$19:$B$25,0),3)*(V341))^AB341*(1+OFFSET('玩法产出(新)'!$C$18,MATCH(X341,'玩法产出(新)'!$B$19:$B$25,0),4)*(1-V341)+OFFSET('玩法产出(新)'!$C$18,1+MATCH(X341,'玩法产出(新)'!$B$19:$B$25,0),4)*(V341))^AC341*(1+OFFSET('玩法产出(新)'!$C$18,MATCH(X341,'玩法产出(新)'!$B$19:$B$25,0),5)*(1+V341)+OFFSET('玩法产出(新)'!$C$18,1+MATCH(X341,'玩法产出(新)'!$B$19:$B$25,5),1)*(V341))^AD341*(1+OFFSET('玩法产出(新)'!$C$18,MATCH(X341,'玩法产出(新)'!$B$19:$B$25,0),6)*(1+V341)+OFFSET('玩法产出(新)'!$C$18,1+MATCH(X341,'玩法产出(新)'!$B$19:$B$25,0),6)*(V341))^AE341</f>
        <v>40.6348211041866</v>
      </c>
      <c r="U341" s="226">
        <f ca="1" t="shared" si="153"/>
        <v>0.15104903020521</v>
      </c>
      <c r="V341" s="226">
        <f ca="1">COUNTIF($X$124:$X341,X341)/(COUNTIF($X$124:$X$723,X341)+1)</f>
        <v>0.210309278350515</v>
      </c>
      <c r="W341" s="19">
        <v>30</v>
      </c>
      <c r="X341" s="19" t="s">
        <v>326</v>
      </c>
      <c r="Y341" s="19">
        <f t="shared" si="159"/>
        <v>22960</v>
      </c>
      <c r="Z341" s="19">
        <f ca="1" t="shared" si="135"/>
        <v>1.11616912920962</v>
      </c>
      <c r="AA341" s="282">
        <f ca="1" t="shared" si="136"/>
        <v>6.62759583333334</v>
      </c>
      <c r="AB341" s="282">
        <f ca="1" t="shared" si="137"/>
        <v>17.2354166666667</v>
      </c>
      <c r="AC341" s="282">
        <f ca="1" t="shared" si="138"/>
        <v>4.6758</v>
      </c>
      <c r="AD341" s="282">
        <f ca="1" t="shared" si="139"/>
        <v>1.16895</v>
      </c>
      <c r="AE341" s="282">
        <f ca="1" t="shared" si="140"/>
        <v>0.2922375</v>
      </c>
      <c r="AF341" s="19" t="str">
        <f t="shared" si="141"/>
        <v>粉2</v>
      </c>
      <c r="AG341" s="19">
        <f>IFERROR(_xlfn.XLOOKUP(C341+1,[2]基因升级!$E$141:$E$500,[2]基因升级!$D$141:$D$500)-1,AG340)</f>
        <v>91</v>
      </c>
      <c r="AH341" s="19">
        <v>7</v>
      </c>
      <c r="AI341" s="19">
        <f t="shared" si="142"/>
        <v>9.2039189417803</v>
      </c>
      <c r="AJ341" s="19">
        <f t="shared" si="154"/>
        <v>0</v>
      </c>
      <c r="AK341" s="269">
        <v>1.864</v>
      </c>
      <c r="AL341" s="287">
        <f t="shared" si="162"/>
        <v>10.3599999999999</v>
      </c>
      <c r="AM341" s="287">
        <f t="shared" si="163"/>
        <v>6.76</v>
      </c>
      <c r="AN341" s="293"/>
      <c r="AQ341" s="19">
        <f t="shared" si="143"/>
        <v>2.01565377765991</v>
      </c>
      <c r="AR341" s="19">
        <f t="shared" si="144"/>
        <v>1.57991723646543</v>
      </c>
      <c r="AS341" s="19">
        <f t="shared" si="145"/>
        <v>1</v>
      </c>
      <c r="AT341" s="19">
        <f t="shared" si="146"/>
        <v>1</v>
      </c>
      <c r="AU341" s="19">
        <f t="shared" si="147"/>
        <v>1</v>
      </c>
      <c r="AV341" s="232">
        <f t="shared" si="127"/>
        <v>0.0399999999999991</v>
      </c>
      <c r="AW341" s="232">
        <f t="shared" si="128"/>
        <v>0.04</v>
      </c>
      <c r="AX341" s="232">
        <f t="shared" si="129"/>
        <v>0</v>
      </c>
      <c r="AY341" s="232">
        <f t="shared" si="130"/>
        <v>0</v>
      </c>
      <c r="AZ341" s="232">
        <f t="shared" si="131"/>
        <v>0</v>
      </c>
    </row>
    <row r="342" spans="1:52">
      <c r="A342" s="269"/>
      <c r="C342" s="19">
        <v>219</v>
      </c>
      <c r="D342" s="86">
        <f ca="1" t="shared" si="155"/>
        <v>180.322424117362</v>
      </c>
      <c r="E342" s="251">
        <f ca="1" t="shared" si="132"/>
        <v>0.361500315613294</v>
      </c>
      <c r="F342" s="269">
        <f ca="1" t="shared" si="148"/>
        <v>338.12772328155</v>
      </c>
      <c r="G342" s="283">
        <f ca="1" t="shared" si="149"/>
        <v>122.233278683885</v>
      </c>
      <c r="H342" s="279">
        <f ca="1" t="shared" si="150"/>
        <v>0.210253469087149</v>
      </c>
      <c r="I342" s="269">
        <f ca="1">SUM($J$125:J342)/SUM($H$125:H342)</f>
        <v>0.572802010639579</v>
      </c>
      <c r="J342" s="284">
        <f t="shared" si="156"/>
        <v>0.0995407679303213</v>
      </c>
      <c r="K342" s="19">
        <f t="shared" si="158"/>
        <v>22800</v>
      </c>
      <c r="L342" s="269">
        <f t="shared" si="151"/>
        <v>2.13999999999998</v>
      </c>
      <c r="M342" s="226">
        <f ca="1" t="shared" si="152"/>
        <v>35.376</v>
      </c>
      <c r="N342" s="280">
        <f ca="1" t="shared" si="157"/>
        <v>0.110712701156849</v>
      </c>
      <c r="O342" s="226">
        <f t="shared" si="161"/>
        <v>13.2</v>
      </c>
      <c r="P342" s="19">
        <f ca="1" t="shared" si="126"/>
        <v>17.8</v>
      </c>
      <c r="Q342" s="226">
        <f ca="1" t="shared" si="160"/>
        <v>2.68</v>
      </c>
      <c r="R342" s="269">
        <f ca="1" t="shared" si="133"/>
        <v>0.584447926456836</v>
      </c>
      <c r="S342" s="266">
        <f ca="1" t="shared" si="134"/>
        <v>54.9058930780966</v>
      </c>
      <c r="T342" s="226">
        <f ca="1">(1+OFFSET('玩法产出(新)'!$C$18,MATCH(X342,'玩法产出(新)'!$B$19:$B$25,0),1)*(1-V342)+OFFSET('玩法产出(新)'!$C$18,1+MATCH(X342,'玩法产出(新)'!$B$19:$B$25,0),1)*(V342))^AA342*(1+OFFSET('玩法产出(新)'!$C$18,MATCH(X342,'玩法产出(新)'!$B$19:$B$25,0),3)*(1-V342)+OFFSET('玩法产出(新)'!$C$18,1+MATCH(X342,'玩法产出(新)'!$B$19:$B$25,0),3)*(V342))^AB342*(1+OFFSET('玩法产出(新)'!$C$18,MATCH(X342,'玩法产出(新)'!$B$19:$B$25,0),4)*(1-V342)+OFFSET('玩法产出(新)'!$C$18,1+MATCH(X342,'玩法产出(新)'!$B$19:$B$25,0),4)*(V342))^AC342*(1+OFFSET('玩法产出(新)'!$C$18,MATCH(X342,'玩法产出(新)'!$B$19:$B$25,0),5)*(1+V342)+OFFSET('玩法产出(新)'!$C$18,1+MATCH(X342,'玩法产出(新)'!$B$19:$B$25,5),1)*(V342))^AD342*(1+OFFSET('玩法产出(新)'!$C$18,MATCH(X342,'玩法产出(新)'!$B$19:$B$25,0),6)*(1+V342)+OFFSET('玩法产出(新)'!$C$18,1+MATCH(X342,'玩法产出(新)'!$B$19:$B$25,0),6)*(V342))^AE342</f>
        <v>41.0527784817256</v>
      </c>
      <c r="U342" s="226">
        <f ca="1" t="shared" si="153"/>
        <v>0.151246846526124</v>
      </c>
      <c r="V342" s="226">
        <f ca="1">COUNTIF($X$124:$X342,X342)/(COUNTIF($X$124:$X$723,X342)+1)</f>
        <v>0.212371134020619</v>
      </c>
      <c r="W342" s="19">
        <v>30</v>
      </c>
      <c r="X342" s="19" t="s">
        <v>326</v>
      </c>
      <c r="Y342" s="19">
        <f t="shared" si="159"/>
        <v>23060</v>
      </c>
      <c r="Z342" s="19">
        <f ca="1" t="shared" si="135"/>
        <v>1.0999064435567</v>
      </c>
      <c r="AA342" s="282">
        <f ca="1" t="shared" si="136"/>
        <v>6.527834375</v>
      </c>
      <c r="AB342" s="282">
        <f ca="1" t="shared" si="137"/>
        <v>17.3078125</v>
      </c>
      <c r="AC342" s="282">
        <f ca="1" t="shared" si="138"/>
        <v>4.69665</v>
      </c>
      <c r="AD342" s="282">
        <f ca="1" t="shared" si="139"/>
        <v>1.1741625</v>
      </c>
      <c r="AE342" s="282">
        <f ca="1" t="shared" si="140"/>
        <v>0.293540625</v>
      </c>
      <c r="AF342" s="19" t="str">
        <f t="shared" si="141"/>
        <v>粉2</v>
      </c>
      <c r="AG342" s="19">
        <f>IFERROR(_xlfn.XLOOKUP(C342+1,[2]基因升级!$E$141:$E$500,[2]基因升级!$D$141:$D$500)-1,AG341)</f>
        <v>91</v>
      </c>
      <c r="AH342" s="19">
        <v>7</v>
      </c>
      <c r="AI342" s="19">
        <f t="shared" si="142"/>
        <v>9.2039189417803</v>
      </c>
      <c r="AJ342" s="19">
        <f t="shared" si="154"/>
        <v>0</v>
      </c>
      <c r="AK342" s="269">
        <v>1.864</v>
      </c>
      <c r="AL342" s="287">
        <f t="shared" si="162"/>
        <v>10.3999999999999</v>
      </c>
      <c r="AM342" s="287">
        <f t="shared" si="163"/>
        <v>6.8</v>
      </c>
      <c r="AN342" s="293"/>
      <c r="AQ342" s="19">
        <f t="shared" si="143"/>
        <v>2.0211162223739</v>
      </c>
      <c r="AR342" s="19">
        <f t="shared" si="144"/>
        <v>1.5841988301858</v>
      </c>
      <c r="AS342" s="19">
        <f t="shared" si="145"/>
        <v>1</v>
      </c>
      <c r="AT342" s="19">
        <f t="shared" si="146"/>
        <v>1</v>
      </c>
      <c r="AU342" s="19">
        <f t="shared" si="147"/>
        <v>1</v>
      </c>
      <c r="AV342" s="232">
        <f t="shared" si="127"/>
        <v>0.0399999999999991</v>
      </c>
      <c r="AW342" s="232">
        <f t="shared" si="128"/>
        <v>0.04</v>
      </c>
      <c r="AX342" s="232">
        <f t="shared" si="129"/>
        <v>0</v>
      </c>
      <c r="AY342" s="232">
        <f t="shared" si="130"/>
        <v>0</v>
      </c>
      <c r="AZ342" s="232">
        <f t="shared" si="131"/>
        <v>0</v>
      </c>
    </row>
    <row r="343" spans="1:52">
      <c r="A343" s="269"/>
      <c r="C343" s="19">
        <v>220</v>
      </c>
      <c r="D343" s="86">
        <f ca="1" t="shared" si="155"/>
        <v>180.682933992146</v>
      </c>
      <c r="E343" s="251">
        <f ca="1" t="shared" si="132"/>
        <v>0.36050987478356</v>
      </c>
      <c r="F343" s="269">
        <f ca="1" t="shared" si="148"/>
        <v>339.636588509852</v>
      </c>
      <c r="G343" s="283">
        <f ca="1" t="shared" si="149"/>
        <v>122.442343995602</v>
      </c>
      <c r="H343" s="279">
        <f ca="1" t="shared" si="150"/>
        <v>0.209065311717126</v>
      </c>
      <c r="I343" s="269">
        <f ca="1">SUM($J$125:J343)/SUM($H$125:H343)</f>
        <v>0.572619007784574</v>
      </c>
      <c r="J343" s="284">
        <f t="shared" si="156"/>
        <v>0.0991757609319563</v>
      </c>
      <c r="K343" s="19">
        <f t="shared" si="158"/>
        <v>22900</v>
      </c>
      <c r="L343" s="269">
        <f t="shared" si="151"/>
        <v>2.14499999999998</v>
      </c>
      <c r="M343" s="226">
        <f ca="1" t="shared" si="152"/>
        <v>35.64</v>
      </c>
      <c r="N343" s="280">
        <f ca="1" t="shared" si="157"/>
        <v>0.109889550785148</v>
      </c>
      <c r="O343" s="226">
        <f t="shared" si="161"/>
        <v>13.2</v>
      </c>
      <c r="P343" s="19">
        <f ca="1" t="shared" si="126"/>
        <v>18</v>
      </c>
      <c r="Q343" s="226">
        <f ca="1" t="shared" si="160"/>
        <v>2.7</v>
      </c>
      <c r="R343" s="269">
        <f ca="1" t="shared" si="133"/>
        <v>0.586059984031994</v>
      </c>
      <c r="S343" s="266">
        <f ca="1" t="shared" si="134"/>
        <v>55.057337641163</v>
      </c>
      <c r="T343" s="226">
        <f ca="1">(1+OFFSET('玩法产出(新)'!$C$18,MATCH(X343,'玩法产出(新)'!$B$19:$B$25,0),1)*(1-V343)+OFFSET('玩法产出(新)'!$C$18,1+MATCH(X343,'玩法产出(新)'!$B$19:$B$25,0),1)*(V343))^AA343*(1+OFFSET('玩法产出(新)'!$C$18,MATCH(X343,'玩法产出(新)'!$B$19:$B$25,0),3)*(1-V343)+OFFSET('玩法产出(新)'!$C$18,1+MATCH(X343,'玩法产出(新)'!$B$19:$B$25,0),3)*(V343))^AB343*(1+OFFSET('玩法产出(新)'!$C$18,MATCH(X343,'玩法产出(新)'!$B$19:$B$25,0),4)*(1-V343)+OFFSET('玩法产出(新)'!$C$18,1+MATCH(X343,'玩法产出(新)'!$B$19:$B$25,0),4)*(V343))^AC343*(1+OFFSET('玩法产出(新)'!$C$18,MATCH(X343,'玩法产出(新)'!$B$19:$B$25,0),5)*(1+V343)+OFFSET('玩法产出(新)'!$C$18,1+MATCH(X343,'玩法产出(新)'!$B$19:$B$25,5),1)*(V343))^AD343*(1+OFFSET('玩法产出(新)'!$C$18,MATCH(X343,'玩法产出(新)'!$B$19:$B$25,0),6)*(1+V343)+OFFSET('玩法产出(新)'!$C$18,1+MATCH(X343,'玩法产出(新)'!$B$19:$B$25,0),6)*(V343))^AE343</f>
        <v>41.4755896663392</v>
      </c>
      <c r="U343" s="226">
        <f ca="1" t="shared" si="153"/>
        <v>0.151444563066455</v>
      </c>
      <c r="V343" s="226">
        <f ca="1">COUNTIF($X$124:$X343,X343)/(COUNTIF($X$124:$X$723,X343)+1)</f>
        <v>0.214432989690722</v>
      </c>
      <c r="W343" s="19">
        <v>30</v>
      </c>
      <c r="X343" s="19" t="s">
        <v>326</v>
      </c>
      <c r="Y343" s="19">
        <f t="shared" si="159"/>
        <v>23160</v>
      </c>
      <c r="Z343" s="19">
        <f ca="1" t="shared" si="135"/>
        <v>1.0836273024055</v>
      </c>
      <c r="AA343" s="282">
        <f ca="1" t="shared" si="136"/>
        <v>6.42807291666667</v>
      </c>
      <c r="AB343" s="282">
        <f ca="1" t="shared" si="137"/>
        <v>17.3802083333333</v>
      </c>
      <c r="AC343" s="282">
        <f ca="1" t="shared" si="138"/>
        <v>4.7175</v>
      </c>
      <c r="AD343" s="282">
        <f ca="1" t="shared" si="139"/>
        <v>1.179375</v>
      </c>
      <c r="AE343" s="282">
        <f ca="1" t="shared" si="140"/>
        <v>0.29484375</v>
      </c>
      <c r="AF343" s="19" t="str">
        <f t="shared" si="141"/>
        <v>粉2</v>
      </c>
      <c r="AG343" s="19">
        <f>IFERROR(_xlfn.XLOOKUP(C343+1,[2]基因升级!$E$141:$E$500,[2]基因升级!$D$141:$D$500)-1,AG342)</f>
        <v>91</v>
      </c>
      <c r="AH343" s="19">
        <v>7</v>
      </c>
      <c r="AI343" s="19">
        <f t="shared" si="142"/>
        <v>9.2039189417803</v>
      </c>
      <c r="AJ343" s="19">
        <f t="shared" si="154"/>
        <v>0</v>
      </c>
      <c r="AK343" s="269">
        <v>1.864</v>
      </c>
      <c r="AL343" s="287">
        <f t="shared" si="162"/>
        <v>10.4399999999999</v>
      </c>
      <c r="AM343" s="287">
        <f t="shared" si="163"/>
        <v>6.84</v>
      </c>
      <c r="AN343" s="293"/>
      <c r="AQ343" s="19">
        <f t="shared" si="143"/>
        <v>2.02659347037532</v>
      </c>
      <c r="AR343" s="19">
        <f t="shared" si="144"/>
        <v>1.58849202707396</v>
      </c>
      <c r="AS343" s="19">
        <f t="shared" si="145"/>
        <v>1</v>
      </c>
      <c r="AT343" s="19">
        <f t="shared" si="146"/>
        <v>1</v>
      </c>
      <c r="AU343" s="19">
        <f t="shared" si="147"/>
        <v>1</v>
      </c>
      <c r="AV343" s="232">
        <f t="shared" si="127"/>
        <v>0.0399999999999991</v>
      </c>
      <c r="AW343" s="232">
        <f t="shared" si="128"/>
        <v>0.04</v>
      </c>
      <c r="AX343" s="232">
        <f t="shared" si="129"/>
        <v>0</v>
      </c>
      <c r="AY343" s="232">
        <f t="shared" si="130"/>
        <v>0</v>
      </c>
      <c r="AZ343" s="232">
        <f t="shared" si="131"/>
        <v>0</v>
      </c>
    </row>
    <row r="344" spans="1:52">
      <c r="A344" s="269"/>
      <c r="C344" s="19">
        <v>221</v>
      </c>
      <c r="D344" s="86">
        <f ca="1" t="shared" si="155"/>
        <v>181.04246832992</v>
      </c>
      <c r="E344" s="251">
        <f ca="1" t="shared" si="132"/>
        <v>0.359534337774656</v>
      </c>
      <c r="F344" s="269">
        <f ca="1" t="shared" si="148"/>
        <v>341.136362419691</v>
      </c>
      <c r="G344" s="283">
        <f ca="1" t="shared" si="149"/>
        <v>122.650236153419</v>
      </c>
      <c r="H344" s="279">
        <f ca="1" t="shared" si="150"/>
        <v>0.207892157816502</v>
      </c>
      <c r="I344" s="269">
        <f ca="1">SUM($J$125:J344)/SUM($H$125:H344)</f>
        <v>0.572439430764494</v>
      </c>
      <c r="J344" s="284">
        <f t="shared" si="156"/>
        <v>0.09881360741538</v>
      </c>
      <c r="K344" s="19">
        <f t="shared" si="158"/>
        <v>23000</v>
      </c>
      <c r="L344" s="269">
        <f t="shared" si="151"/>
        <v>2.14999999999998</v>
      </c>
      <c r="M344" s="226">
        <f ca="1" t="shared" si="152"/>
        <v>35.904</v>
      </c>
      <c r="N344" s="280">
        <f ca="1" t="shared" si="157"/>
        <v>0.109078550401115</v>
      </c>
      <c r="O344" s="226">
        <f t="shared" si="161"/>
        <v>13.2</v>
      </c>
      <c r="P344" s="19">
        <f ca="1" t="shared" si="126"/>
        <v>18.2</v>
      </c>
      <c r="Q344" s="226">
        <f ca="1" t="shared" si="160"/>
        <v>2.72</v>
      </c>
      <c r="R344" s="269">
        <f ca="1" t="shared" si="133"/>
        <v>0.587674145147885</v>
      </c>
      <c r="S344" s="266">
        <f ca="1" t="shared" si="134"/>
        <v>55.2089798211212</v>
      </c>
      <c r="T344" s="226">
        <f ca="1">(1+OFFSET('玩法产出(新)'!$C$18,MATCH(X344,'玩法产出(新)'!$B$19:$B$25,0),1)*(1-V344)+OFFSET('玩法产出(新)'!$C$18,1+MATCH(X344,'玩法产出(新)'!$B$19:$B$25,0),1)*(V344))^AA344*(1+OFFSET('玩法产出(新)'!$C$18,MATCH(X344,'玩法产出(新)'!$B$19:$B$25,0),3)*(1-V344)+OFFSET('玩法产出(新)'!$C$18,1+MATCH(X344,'玩法产出(新)'!$B$19:$B$25,0),3)*(V344))^AB344*(1+OFFSET('玩法产出(新)'!$C$18,MATCH(X344,'玩法产出(新)'!$B$19:$B$25,0),4)*(1-V344)+OFFSET('玩法产出(新)'!$C$18,1+MATCH(X344,'玩法产出(新)'!$B$19:$B$25,0),4)*(V344))^AC344*(1+OFFSET('玩法产出(新)'!$C$18,MATCH(X344,'玩法产出(新)'!$B$19:$B$25,0),5)*(1+V344)+OFFSET('玩法产出(新)'!$C$18,1+MATCH(X344,'玩法产出(新)'!$B$19:$B$25,5),1)*(V344))^AD344*(1+OFFSET('玩法产出(新)'!$C$18,MATCH(X344,'玩法产出(新)'!$B$19:$B$25,0),6)*(1+V344)+OFFSET('玩法产出(新)'!$C$18,1+MATCH(X344,'玩法产出(新)'!$B$19:$B$25,0),6)*(V344))^AE344</f>
        <v>41.9033157363066</v>
      </c>
      <c r="U344" s="226">
        <f ca="1" t="shared" si="153"/>
        <v>0.151642179958161</v>
      </c>
      <c r="V344" s="226">
        <f ca="1">COUNTIF($X$124:$X344,X344)/(COUNTIF($X$124:$X$723,X344)+1)</f>
        <v>0.216494845360825</v>
      </c>
      <c r="W344" s="19">
        <v>30</v>
      </c>
      <c r="X344" s="19" t="s">
        <v>326</v>
      </c>
      <c r="Y344" s="19">
        <f t="shared" si="159"/>
        <v>23260</v>
      </c>
      <c r="Z344" s="19">
        <f ca="1" t="shared" si="135"/>
        <v>1.06733170575601</v>
      </c>
      <c r="AA344" s="282">
        <f ca="1" t="shared" si="136"/>
        <v>6.32831145833333</v>
      </c>
      <c r="AB344" s="282">
        <f ca="1" t="shared" si="137"/>
        <v>17.4526041666667</v>
      </c>
      <c r="AC344" s="282">
        <f ca="1" t="shared" si="138"/>
        <v>4.73835</v>
      </c>
      <c r="AD344" s="282">
        <f ca="1" t="shared" si="139"/>
        <v>1.1845875</v>
      </c>
      <c r="AE344" s="282">
        <f ca="1" t="shared" si="140"/>
        <v>0.296146875</v>
      </c>
      <c r="AF344" s="19" t="str">
        <f t="shared" si="141"/>
        <v>粉2</v>
      </c>
      <c r="AG344" s="19">
        <f>IFERROR(_xlfn.XLOOKUP(C344+1,[2]基因升级!$E$141:$E$500,[2]基因升级!$D$141:$D$500)-1,AG343)</f>
        <v>91</v>
      </c>
      <c r="AH344" s="19">
        <v>7</v>
      </c>
      <c r="AI344" s="19">
        <f t="shared" si="142"/>
        <v>9.2039189417803</v>
      </c>
      <c r="AJ344" s="19">
        <f t="shared" si="154"/>
        <v>0</v>
      </c>
      <c r="AK344" s="269">
        <v>1.864</v>
      </c>
      <c r="AL344" s="287">
        <f t="shared" si="162"/>
        <v>10.4799999999999</v>
      </c>
      <c r="AM344" s="287">
        <f t="shared" si="163"/>
        <v>6.88</v>
      </c>
      <c r="AN344" s="293"/>
      <c r="AQ344" s="19">
        <f t="shared" si="143"/>
        <v>2.03208556178127</v>
      </c>
      <c r="AR344" s="19">
        <f t="shared" si="144"/>
        <v>1.59279685857462</v>
      </c>
      <c r="AS344" s="19">
        <f t="shared" si="145"/>
        <v>1</v>
      </c>
      <c r="AT344" s="19">
        <f t="shared" si="146"/>
        <v>1</v>
      </c>
      <c r="AU344" s="19">
        <f t="shared" si="147"/>
        <v>1</v>
      </c>
      <c r="AV344" s="232">
        <f t="shared" si="127"/>
        <v>0.0399999999999991</v>
      </c>
      <c r="AW344" s="232">
        <f t="shared" si="128"/>
        <v>0.04</v>
      </c>
      <c r="AX344" s="232">
        <f t="shared" si="129"/>
        <v>0</v>
      </c>
      <c r="AY344" s="232">
        <f t="shared" si="130"/>
        <v>0</v>
      </c>
      <c r="AZ344" s="232">
        <f t="shared" si="131"/>
        <v>0</v>
      </c>
    </row>
    <row r="345" spans="1:52">
      <c r="A345" s="269"/>
      <c r="C345" s="19">
        <v>222</v>
      </c>
      <c r="D345" s="86">
        <f ca="1" t="shared" si="155"/>
        <v>181.401041732734</v>
      </c>
      <c r="E345" s="251">
        <f ca="1" t="shared" si="132"/>
        <v>0.358573402813774</v>
      </c>
      <c r="F345" s="269">
        <f ca="1" t="shared" si="148"/>
        <v>342.627113151238</v>
      </c>
      <c r="G345" s="283">
        <f ca="1" t="shared" si="149"/>
        <v>122.856969858899</v>
      </c>
      <c r="H345" s="279">
        <f ca="1" t="shared" si="150"/>
        <v>0.20673370548073</v>
      </c>
      <c r="I345" s="269">
        <f ca="1">SUM($J$125:J345)/SUM($H$125:H345)</f>
        <v>0.572263205475117</v>
      </c>
      <c r="J345" s="284">
        <f t="shared" si="156"/>
        <v>0.0984542725135356</v>
      </c>
      <c r="K345" s="19">
        <f t="shared" si="158"/>
        <v>23100</v>
      </c>
      <c r="L345" s="269">
        <f t="shared" si="151"/>
        <v>2.15499999999998</v>
      </c>
      <c r="M345" s="226">
        <f ca="1" t="shared" si="152"/>
        <v>36.168</v>
      </c>
      <c r="N345" s="280">
        <f ca="1" t="shared" si="157"/>
        <v>0.108279432967215</v>
      </c>
      <c r="O345" s="226">
        <f t="shared" si="161"/>
        <v>13.2</v>
      </c>
      <c r="P345" s="19">
        <f ca="1" t="shared" si="126"/>
        <v>18.4</v>
      </c>
      <c r="Q345" s="226">
        <f ca="1" t="shared" si="160"/>
        <v>2.74</v>
      </c>
      <c r="R345" s="269">
        <f ca="1" t="shared" si="133"/>
        <v>0.589290408745199</v>
      </c>
      <c r="S345" s="266">
        <f ca="1" t="shared" si="134"/>
        <v>55.3608195184542</v>
      </c>
      <c r="T345" s="226">
        <f ca="1">(1+OFFSET('玩法产出(新)'!$C$18,MATCH(X345,'玩法产出(新)'!$B$19:$B$25,0),1)*(1-V345)+OFFSET('玩法产出(新)'!$C$18,1+MATCH(X345,'玩法产出(新)'!$B$19:$B$25,0),1)*(V345))^AA345*(1+OFFSET('玩法产出(新)'!$C$18,MATCH(X345,'玩法产出(新)'!$B$19:$B$25,0),3)*(1-V345)+OFFSET('玩法产出(新)'!$C$18,1+MATCH(X345,'玩法产出(新)'!$B$19:$B$25,0),3)*(V345))^AB345*(1+OFFSET('玩法产出(新)'!$C$18,MATCH(X345,'玩法产出(新)'!$B$19:$B$25,0),4)*(1-V345)+OFFSET('玩法产出(新)'!$C$18,1+MATCH(X345,'玩法产出(新)'!$B$19:$B$25,0),4)*(V345))^AC345*(1+OFFSET('玩法产出(新)'!$C$18,MATCH(X345,'玩法产出(新)'!$B$19:$B$25,0),5)*(1+V345)+OFFSET('玩法产出(新)'!$C$18,1+MATCH(X345,'玩法产出(新)'!$B$19:$B$25,5),1)*(V345))^AD345*(1+OFFSET('玩法产出(新)'!$C$18,MATCH(X345,'玩法产出(新)'!$B$19:$B$25,0),6)*(1+V345)+OFFSET('玩法产出(新)'!$C$18,1+MATCH(X345,'玩法产出(新)'!$B$19:$B$25,0),6)*(V345))^AE345</f>
        <v>42.33601858927</v>
      </c>
      <c r="U345" s="226">
        <f ca="1" t="shared" si="153"/>
        <v>0.151839697333023</v>
      </c>
      <c r="V345" s="226">
        <f ca="1">COUNTIF($X$124:$X345,X345)/(COUNTIF($X$124:$X$723,X345)+1)</f>
        <v>0.218556701030928</v>
      </c>
      <c r="W345" s="19">
        <v>30</v>
      </c>
      <c r="X345" s="19" t="s">
        <v>326</v>
      </c>
      <c r="Y345" s="19">
        <f t="shared" si="159"/>
        <v>23360</v>
      </c>
      <c r="Z345" s="19">
        <f ca="1" t="shared" si="135"/>
        <v>1.05101965360825</v>
      </c>
      <c r="AA345" s="282">
        <f ca="1" t="shared" si="136"/>
        <v>6.22855</v>
      </c>
      <c r="AB345" s="282">
        <f ca="1" t="shared" si="137"/>
        <v>17.525</v>
      </c>
      <c r="AC345" s="282">
        <f ca="1" t="shared" si="138"/>
        <v>4.7592</v>
      </c>
      <c r="AD345" s="282">
        <f ca="1" t="shared" si="139"/>
        <v>1.1898</v>
      </c>
      <c r="AE345" s="282">
        <f ca="1" t="shared" si="140"/>
        <v>0.29745</v>
      </c>
      <c r="AF345" s="19" t="str">
        <f t="shared" si="141"/>
        <v>粉2</v>
      </c>
      <c r="AG345" s="19">
        <f>IFERROR(_xlfn.XLOOKUP(C345+1,[2]基因升级!$E$141:$E$500,[2]基因升级!$D$141:$D$500)-1,AG344)</f>
        <v>91</v>
      </c>
      <c r="AH345" s="19">
        <v>7</v>
      </c>
      <c r="AI345" s="19">
        <f t="shared" si="142"/>
        <v>9.2039189417803</v>
      </c>
      <c r="AJ345" s="19">
        <f t="shared" si="154"/>
        <v>0</v>
      </c>
      <c r="AK345" s="269">
        <v>1.864</v>
      </c>
      <c r="AL345" s="287">
        <f t="shared" si="162"/>
        <v>10.5199999999999</v>
      </c>
      <c r="AM345" s="287">
        <f t="shared" si="163"/>
        <v>6.92</v>
      </c>
      <c r="AN345" s="293"/>
      <c r="AQ345" s="19">
        <f t="shared" si="143"/>
        <v>2.03759253681753</v>
      </c>
      <c r="AR345" s="19">
        <f t="shared" si="144"/>
        <v>1.59711335621772</v>
      </c>
      <c r="AS345" s="19">
        <f t="shared" si="145"/>
        <v>1</v>
      </c>
      <c r="AT345" s="19">
        <f t="shared" si="146"/>
        <v>1</v>
      </c>
      <c r="AU345" s="19">
        <f t="shared" si="147"/>
        <v>1</v>
      </c>
      <c r="AV345" s="232">
        <f t="shared" si="127"/>
        <v>0.0399999999999991</v>
      </c>
      <c r="AW345" s="232">
        <f t="shared" si="128"/>
        <v>0.04</v>
      </c>
      <c r="AX345" s="232">
        <f t="shared" si="129"/>
        <v>0</v>
      </c>
      <c r="AY345" s="232">
        <f t="shared" si="130"/>
        <v>0</v>
      </c>
      <c r="AZ345" s="232">
        <f t="shared" si="131"/>
        <v>0</v>
      </c>
    </row>
    <row r="346" spans="1:52">
      <c r="A346" s="269"/>
      <c r="C346" s="19">
        <v>223</v>
      </c>
      <c r="D346" s="86">
        <f ca="1" t="shared" si="155"/>
        <v>181.758668509212</v>
      </c>
      <c r="E346" s="251">
        <f ca="1" t="shared" si="132"/>
        <v>0.357626776477779</v>
      </c>
      <c r="F346" s="269">
        <f ca="1" t="shared" si="148"/>
        <v>344.108907985253</v>
      </c>
      <c r="G346" s="283">
        <f ca="1" t="shared" si="149"/>
        <v>123.062559520055</v>
      </c>
      <c r="H346" s="279">
        <f ca="1" t="shared" si="150"/>
        <v>0.205589661155344</v>
      </c>
      <c r="I346" s="269">
        <f ca="1">SUM($J$125:J346)/SUM($H$125:H346)</f>
        <v>0.572090259836459</v>
      </c>
      <c r="J346" s="284">
        <f t="shared" si="156"/>
        <v>0.0980977219408601</v>
      </c>
      <c r="K346" s="19">
        <f t="shared" si="158"/>
        <v>23200</v>
      </c>
      <c r="L346" s="269">
        <f t="shared" si="151"/>
        <v>2.15999999999998</v>
      </c>
      <c r="M346" s="226">
        <f ca="1" t="shared" si="152"/>
        <v>36.432</v>
      </c>
      <c r="N346" s="280">
        <f ca="1" t="shared" si="157"/>
        <v>0.107491939214462</v>
      </c>
      <c r="O346" s="226">
        <f t="shared" si="161"/>
        <v>13.2</v>
      </c>
      <c r="P346" s="19">
        <f ca="1" t="shared" si="126"/>
        <v>18.6</v>
      </c>
      <c r="Q346" s="226">
        <f ca="1" t="shared" si="160"/>
        <v>2.76</v>
      </c>
      <c r="R346" s="269">
        <f ca="1" t="shared" si="133"/>
        <v>0.590908773766023</v>
      </c>
      <c r="S346" s="266">
        <f ca="1" t="shared" si="134"/>
        <v>55.5128566337767</v>
      </c>
      <c r="T346" s="226">
        <f ca="1">(1+OFFSET('玩法产出(新)'!$C$18,MATCH(X346,'玩法产出(新)'!$B$19:$B$25,0),1)*(1-V346)+OFFSET('玩法产出(新)'!$C$18,1+MATCH(X346,'玩法产出(新)'!$B$19:$B$25,0),1)*(V346))^AA346*(1+OFFSET('玩法产出(新)'!$C$18,MATCH(X346,'玩法产出(新)'!$B$19:$B$25,0),3)*(1-V346)+OFFSET('玩法产出(新)'!$C$18,1+MATCH(X346,'玩法产出(新)'!$B$19:$B$25,0),3)*(V346))^AB346*(1+OFFSET('玩法产出(新)'!$C$18,MATCH(X346,'玩法产出(新)'!$B$19:$B$25,0),4)*(1-V346)+OFFSET('玩法产出(新)'!$C$18,1+MATCH(X346,'玩法产出(新)'!$B$19:$B$25,0),4)*(V346))^AC346*(1+OFFSET('玩法产出(新)'!$C$18,MATCH(X346,'玩法产出(新)'!$B$19:$B$25,0),5)*(1+V346)+OFFSET('玩法产出(新)'!$C$18,1+MATCH(X346,'玩法产出(新)'!$B$19:$B$25,5),1)*(V346))^AD346*(1+OFFSET('玩法产出(新)'!$C$18,MATCH(X346,'玩法产出(新)'!$B$19:$B$25,0),6)*(1+V346)+OFFSET('玩法产出(新)'!$C$18,1+MATCH(X346,'玩法产出(新)'!$B$19:$B$25,0),6)*(V346))^AE346</f>
        <v>42.7737609538245</v>
      </c>
      <c r="U346" s="226">
        <f ca="1" t="shared" si="153"/>
        <v>0.152037115322457</v>
      </c>
      <c r="V346" s="226">
        <f ca="1">COUNTIF($X$124:$X346,X346)/(COUNTIF($X$124:$X$723,X346)+1)</f>
        <v>0.220618556701031</v>
      </c>
      <c r="W346" s="19">
        <v>30</v>
      </c>
      <c r="X346" s="19" t="s">
        <v>326</v>
      </c>
      <c r="Y346" s="19">
        <f t="shared" si="159"/>
        <v>23460</v>
      </c>
      <c r="Z346" s="19">
        <f ca="1" t="shared" si="135"/>
        <v>1.0346911459622</v>
      </c>
      <c r="AA346" s="282">
        <f ca="1" t="shared" si="136"/>
        <v>6.12878854166667</v>
      </c>
      <c r="AB346" s="282">
        <f ca="1" t="shared" si="137"/>
        <v>17.5973958333333</v>
      </c>
      <c r="AC346" s="282">
        <f ca="1" t="shared" si="138"/>
        <v>4.78005</v>
      </c>
      <c r="AD346" s="282">
        <f ca="1" t="shared" si="139"/>
        <v>1.1950125</v>
      </c>
      <c r="AE346" s="282">
        <f ca="1" t="shared" si="140"/>
        <v>0.298753125</v>
      </c>
      <c r="AF346" s="19" t="str">
        <f t="shared" si="141"/>
        <v>粉2</v>
      </c>
      <c r="AG346" s="19">
        <f>IFERROR(_xlfn.XLOOKUP(C346+1,[2]基因升级!$E$141:$E$500,[2]基因升级!$D$141:$D$500)-1,AG345)</f>
        <v>91</v>
      </c>
      <c r="AH346" s="19">
        <v>7</v>
      </c>
      <c r="AI346" s="19">
        <f t="shared" si="142"/>
        <v>9.2039189417803</v>
      </c>
      <c r="AJ346" s="19">
        <f t="shared" si="154"/>
        <v>0</v>
      </c>
      <c r="AK346" s="269">
        <v>1.864</v>
      </c>
      <c r="AL346" s="287">
        <f t="shared" si="162"/>
        <v>10.5599999999999</v>
      </c>
      <c r="AM346" s="287">
        <f t="shared" si="163"/>
        <v>6.96</v>
      </c>
      <c r="AN346" s="293"/>
      <c r="AQ346" s="19">
        <f t="shared" si="143"/>
        <v>2.04311443581892</v>
      </c>
      <c r="AR346" s="19">
        <f t="shared" si="144"/>
        <v>1.60144155161864</v>
      </c>
      <c r="AS346" s="19">
        <f t="shared" si="145"/>
        <v>1</v>
      </c>
      <c r="AT346" s="19">
        <f t="shared" si="146"/>
        <v>1</v>
      </c>
      <c r="AU346" s="19">
        <f t="shared" si="147"/>
        <v>1</v>
      </c>
      <c r="AV346" s="232">
        <f t="shared" si="127"/>
        <v>0.0399999999999991</v>
      </c>
      <c r="AW346" s="232">
        <f t="shared" si="128"/>
        <v>0.04</v>
      </c>
      <c r="AX346" s="232">
        <f t="shared" si="129"/>
        <v>0</v>
      </c>
      <c r="AY346" s="232">
        <f t="shared" si="130"/>
        <v>0</v>
      </c>
      <c r="AZ346" s="232">
        <f t="shared" si="131"/>
        <v>0</v>
      </c>
    </row>
    <row r="347" spans="1:52">
      <c r="A347" s="269"/>
      <c r="C347" s="19">
        <v>224</v>
      </c>
      <c r="D347" s="86">
        <f ca="1" t="shared" si="155"/>
        <v>182.115362682613</v>
      </c>
      <c r="E347" s="251">
        <f ca="1" t="shared" si="132"/>
        <v>0.356694173400566</v>
      </c>
      <c r="F347" s="269">
        <f ca="1" t="shared" si="148"/>
        <v>345.581813361917</v>
      </c>
      <c r="G347" s="283">
        <f ca="1" t="shared" si="149"/>
        <v>123.267019259398</v>
      </c>
      <c r="H347" s="279">
        <f ca="1" t="shared" si="150"/>
        <v>0.204459739343008</v>
      </c>
      <c r="I347" s="269">
        <f ca="1">SUM($J$125:J347)/SUM($H$125:H347)</f>
        <v>0.571920523724823</v>
      </c>
      <c r="J347" s="284">
        <f t="shared" si="156"/>
        <v>0.0977439219810776</v>
      </c>
      <c r="K347" s="19">
        <f t="shared" si="158"/>
        <v>23300</v>
      </c>
      <c r="L347" s="269">
        <f t="shared" si="151"/>
        <v>2.16499999999998</v>
      </c>
      <c r="M347" s="226">
        <f ca="1" t="shared" si="152"/>
        <v>36.696</v>
      </c>
      <c r="N347" s="280">
        <f ca="1" t="shared" si="157"/>
        <v>0.10671581736193</v>
      </c>
      <c r="O347" s="226">
        <f t="shared" si="161"/>
        <v>13.2</v>
      </c>
      <c r="P347" s="19">
        <f ca="1" t="shared" si="126"/>
        <v>18.8</v>
      </c>
      <c r="Q347" s="226">
        <f ca="1" t="shared" si="160"/>
        <v>2.78</v>
      </c>
      <c r="R347" s="269">
        <f ca="1" t="shared" si="133"/>
        <v>0.59252923915384</v>
      </c>
      <c r="S347" s="266">
        <f ca="1" t="shared" si="134"/>
        <v>55.6650910678342</v>
      </c>
      <c r="T347" s="226">
        <f ca="1">(1+OFFSET('玩法产出(新)'!$C$18,MATCH(X347,'玩法产出(新)'!$B$19:$B$25,0),1)*(1-V347)+OFFSET('玩法产出(新)'!$C$18,1+MATCH(X347,'玩法产出(新)'!$B$19:$B$25,0),1)*(V347))^AA347*(1+OFFSET('玩法产出(新)'!$C$18,MATCH(X347,'玩法产出(新)'!$B$19:$B$25,0),3)*(1-V347)+OFFSET('玩法产出(新)'!$C$18,1+MATCH(X347,'玩法产出(新)'!$B$19:$B$25,0),3)*(V347))^AB347*(1+OFFSET('玩法产出(新)'!$C$18,MATCH(X347,'玩法产出(新)'!$B$19:$B$25,0),4)*(1-V347)+OFFSET('玩法产出(新)'!$C$18,1+MATCH(X347,'玩法产出(新)'!$B$19:$B$25,0),4)*(V347))^AC347*(1+OFFSET('玩法产出(新)'!$C$18,MATCH(X347,'玩法产出(新)'!$B$19:$B$25,0),5)*(1+V347)+OFFSET('玩法产出(新)'!$C$18,1+MATCH(X347,'玩法产出(新)'!$B$19:$B$25,5),1)*(V347))^AD347*(1+OFFSET('玩法产出(新)'!$C$18,MATCH(X347,'玩法产出(新)'!$B$19:$B$25,0),6)*(1+V347)+OFFSET('玩法产出(新)'!$C$18,1+MATCH(X347,'玩法产出(新)'!$B$19:$B$25,0),6)*(V347))^AE347</f>
        <v>43.2166064012799</v>
      </c>
      <c r="U347" s="226">
        <f ca="1" t="shared" si="153"/>
        <v>0.152234434057558</v>
      </c>
      <c r="V347" s="226">
        <f ca="1">COUNTIF($X$124:$X347,X347)/(COUNTIF($X$124:$X$723,X347)+1)</f>
        <v>0.222680412371134</v>
      </c>
      <c r="W347" s="19">
        <v>30</v>
      </c>
      <c r="X347" s="19" t="s">
        <v>326</v>
      </c>
      <c r="Y347" s="19">
        <f t="shared" si="159"/>
        <v>23560</v>
      </c>
      <c r="Z347" s="19">
        <f ca="1" t="shared" si="135"/>
        <v>1.01834618281787</v>
      </c>
      <c r="AA347" s="282">
        <f ca="1" t="shared" si="136"/>
        <v>6.02902708333333</v>
      </c>
      <c r="AB347" s="282">
        <f ca="1" t="shared" si="137"/>
        <v>17.6697916666667</v>
      </c>
      <c r="AC347" s="282">
        <f ca="1" t="shared" si="138"/>
        <v>4.8009</v>
      </c>
      <c r="AD347" s="282">
        <f ca="1" t="shared" si="139"/>
        <v>1.200225</v>
      </c>
      <c r="AE347" s="282">
        <f ca="1" t="shared" si="140"/>
        <v>0.30005625</v>
      </c>
      <c r="AF347" s="19" t="str">
        <f t="shared" si="141"/>
        <v>粉2</v>
      </c>
      <c r="AG347" s="19">
        <f>IFERROR(_xlfn.XLOOKUP(C347+1,[2]基因升级!$E$141:$E$500,[2]基因升级!$D$141:$D$500)-1,AG346)</f>
        <v>92</v>
      </c>
      <c r="AH347" s="19">
        <v>7</v>
      </c>
      <c r="AI347" s="19">
        <f t="shared" si="142"/>
        <v>9.2039189417803</v>
      </c>
      <c r="AJ347" s="19">
        <f t="shared" si="154"/>
        <v>0</v>
      </c>
      <c r="AK347" s="269">
        <v>1.864</v>
      </c>
      <c r="AL347" s="287">
        <f t="shared" si="162"/>
        <v>10.5999999999999</v>
      </c>
      <c r="AM347" s="287">
        <f t="shared" si="163"/>
        <v>7</v>
      </c>
      <c r="AN347" s="293"/>
      <c r="AQ347" s="19">
        <f t="shared" si="143"/>
        <v>2.04865129922954</v>
      </c>
      <c r="AR347" s="19">
        <f t="shared" si="144"/>
        <v>1.60578147647843</v>
      </c>
      <c r="AS347" s="19">
        <f t="shared" si="145"/>
        <v>1</v>
      </c>
      <c r="AT347" s="19">
        <f t="shared" si="146"/>
        <v>1</v>
      </c>
      <c r="AU347" s="19">
        <f t="shared" si="147"/>
        <v>1</v>
      </c>
      <c r="AV347" s="232">
        <f t="shared" si="127"/>
        <v>0.0399999999999991</v>
      </c>
      <c r="AW347" s="232">
        <f t="shared" si="128"/>
        <v>0.04</v>
      </c>
      <c r="AX347" s="232">
        <f t="shared" si="129"/>
        <v>0</v>
      </c>
      <c r="AY347" s="232">
        <f t="shared" si="130"/>
        <v>0</v>
      </c>
      <c r="AZ347" s="232">
        <f t="shared" si="131"/>
        <v>0</v>
      </c>
    </row>
    <row r="348" spans="1:52">
      <c r="A348" s="269"/>
      <c r="C348" s="19">
        <v>225</v>
      </c>
      <c r="D348" s="86">
        <f ca="1" t="shared" si="155"/>
        <v>182.471137998605</v>
      </c>
      <c r="E348" s="251">
        <f ca="1" t="shared" si="132"/>
        <v>0.355775315992864</v>
      </c>
      <c r="F348" s="269">
        <f ca="1" t="shared" si="148"/>
        <v>347.04589489901</v>
      </c>
      <c r="G348" s="283">
        <f ca="1" t="shared" si="149"/>
        <v>123.470362921721</v>
      </c>
      <c r="H348" s="279">
        <f ca="1" t="shared" si="150"/>
        <v>0.203343662323576</v>
      </c>
      <c r="I348" s="269">
        <f ca="1">SUM($J$125:J348)/SUM($H$125:H348)</f>
        <v>0.571753928907548</v>
      </c>
      <c r="J348" s="284">
        <f t="shared" si="156"/>
        <v>0.0973928394751482</v>
      </c>
      <c r="K348" s="19">
        <f t="shared" si="158"/>
        <v>23400</v>
      </c>
      <c r="L348" s="269">
        <f t="shared" si="151"/>
        <v>2.16999999999998</v>
      </c>
      <c r="M348" s="226">
        <f ca="1" t="shared" si="152"/>
        <v>36.96</v>
      </c>
      <c r="N348" s="280">
        <f ca="1" t="shared" si="157"/>
        <v>0.105950822848421</v>
      </c>
      <c r="O348" s="226">
        <f t="shared" si="161"/>
        <v>13.2</v>
      </c>
      <c r="P348" s="19">
        <f ca="1" t="shared" si="126"/>
        <v>19</v>
      </c>
      <c r="Q348" s="226">
        <f ca="1" t="shared" si="160"/>
        <v>2.8</v>
      </c>
      <c r="R348" s="269">
        <f ca="1" t="shared" si="133"/>
        <v>0.594151803853529</v>
      </c>
      <c r="S348" s="266">
        <f ca="1" t="shared" si="134"/>
        <v>55.8175227215035</v>
      </c>
      <c r="T348" s="226">
        <f ca="1">(1+OFFSET('玩法产出(新)'!$C$18,MATCH(X348,'玩法产出(新)'!$B$19:$B$25,0),1)*(1-V348)+OFFSET('玩法产出(新)'!$C$18,1+MATCH(X348,'玩法产出(新)'!$B$19:$B$25,0),1)*(V348))^AA348*(1+OFFSET('玩法产出(新)'!$C$18,MATCH(X348,'玩法产出(新)'!$B$19:$B$25,0),3)*(1-V348)+OFFSET('玩法产出(新)'!$C$18,1+MATCH(X348,'玩法产出(新)'!$B$19:$B$25,0),3)*(V348))^AB348*(1+OFFSET('玩法产出(新)'!$C$18,MATCH(X348,'玩法产出(新)'!$B$19:$B$25,0),4)*(1-V348)+OFFSET('玩法产出(新)'!$C$18,1+MATCH(X348,'玩法产出(新)'!$B$19:$B$25,0),4)*(V348))^AC348*(1+OFFSET('玩法产出(新)'!$C$18,MATCH(X348,'玩法产出(新)'!$B$19:$B$25,0),5)*(1+V348)+OFFSET('玩法产出(新)'!$C$18,1+MATCH(X348,'玩法产出(新)'!$B$19:$B$25,5),1)*(V348))^AD348*(1+OFFSET('玩法产出(新)'!$C$18,MATCH(X348,'玩法产出(新)'!$B$19:$B$25,0),6)*(1+V348)+OFFSET('玩法产出(新)'!$C$18,1+MATCH(X348,'玩法产出(新)'!$B$19:$B$25,0),6)*(V348))^AE348</f>
        <v>43.664619357597</v>
      </c>
      <c r="U348" s="226">
        <f ca="1" t="shared" si="153"/>
        <v>0.152431653669295</v>
      </c>
      <c r="V348" s="226">
        <f ca="1">COUNTIF($X$124:$X348,X348)/(COUNTIF($X$124:$X$723,X348)+1)</f>
        <v>0.224742268041237</v>
      </c>
      <c r="W348" s="19">
        <v>30</v>
      </c>
      <c r="X348" s="19" t="s">
        <v>326</v>
      </c>
      <c r="Y348" s="19">
        <f t="shared" si="159"/>
        <v>23660</v>
      </c>
      <c r="Z348" s="19">
        <f ca="1" t="shared" si="135"/>
        <v>1.00198476417526</v>
      </c>
      <c r="AA348" s="282">
        <f ca="1" t="shared" si="136"/>
        <v>5.929265625</v>
      </c>
      <c r="AB348" s="282">
        <f ca="1" t="shared" si="137"/>
        <v>17.7421875</v>
      </c>
      <c r="AC348" s="282">
        <f ca="1" t="shared" si="138"/>
        <v>4.82175</v>
      </c>
      <c r="AD348" s="282">
        <f ca="1" t="shared" si="139"/>
        <v>1.2054375</v>
      </c>
      <c r="AE348" s="282">
        <f ca="1" t="shared" si="140"/>
        <v>0.301359375</v>
      </c>
      <c r="AF348" s="19" t="str">
        <f t="shared" si="141"/>
        <v>粉2</v>
      </c>
      <c r="AG348" s="19">
        <f>IFERROR(_xlfn.XLOOKUP(C348+1,[2]基因升级!$E$141:$E$500,[2]基因升级!$D$141:$D$500)-1,AG347)</f>
        <v>92</v>
      </c>
      <c r="AH348" s="19">
        <v>7</v>
      </c>
      <c r="AI348" s="19">
        <f t="shared" si="142"/>
        <v>9.2039189417803</v>
      </c>
      <c r="AJ348" s="19">
        <f t="shared" si="154"/>
        <v>0</v>
      </c>
      <c r="AK348" s="269">
        <v>1.864</v>
      </c>
      <c r="AL348" s="287">
        <f t="shared" si="162"/>
        <v>10.6399999999999</v>
      </c>
      <c r="AM348" s="287">
        <f t="shared" si="163"/>
        <v>7.04</v>
      </c>
      <c r="AN348" s="293"/>
      <c r="AQ348" s="19">
        <f t="shared" si="143"/>
        <v>2.05420316760312</v>
      </c>
      <c r="AR348" s="19">
        <f t="shared" si="144"/>
        <v>1.61013316258406</v>
      </c>
      <c r="AS348" s="19">
        <f t="shared" si="145"/>
        <v>1</v>
      </c>
      <c r="AT348" s="19">
        <f t="shared" si="146"/>
        <v>1</v>
      </c>
      <c r="AU348" s="19">
        <f t="shared" si="147"/>
        <v>1</v>
      </c>
      <c r="AV348" s="232">
        <f t="shared" si="127"/>
        <v>0.0399999999999991</v>
      </c>
      <c r="AW348" s="232">
        <f t="shared" si="128"/>
        <v>0.04</v>
      </c>
      <c r="AX348" s="232">
        <f t="shared" si="129"/>
        <v>0</v>
      </c>
      <c r="AY348" s="232">
        <f t="shared" si="130"/>
        <v>0</v>
      </c>
      <c r="AZ348" s="232">
        <f t="shared" si="131"/>
        <v>0</v>
      </c>
    </row>
    <row r="349" spans="1:52">
      <c r="A349" s="269"/>
      <c r="C349" s="19">
        <v>226</v>
      </c>
      <c r="D349" s="86">
        <f ca="1" t="shared" si="155"/>
        <v>182.826007932779</v>
      </c>
      <c r="E349" s="251">
        <f ca="1" t="shared" si="132"/>
        <v>0.354869934173293</v>
      </c>
      <c r="F349" s="269">
        <f ca="1" t="shared" si="148"/>
        <v>348.50121741002</v>
      </c>
      <c r="G349" s="283">
        <f ca="1" t="shared" si="149"/>
        <v>123.672604081606</v>
      </c>
      <c r="H349" s="279">
        <f ca="1" t="shared" si="150"/>
        <v>0.202241159885077</v>
      </c>
      <c r="I349" s="269">
        <f ca="1">SUM($J$125:J349)/SUM($H$125:H349)</f>
        <v>0.571590408980371</v>
      </c>
      <c r="J349" s="284">
        <f t="shared" si="156"/>
        <v>0.0970444418096577</v>
      </c>
      <c r="K349" s="19">
        <f t="shared" si="158"/>
        <v>23500</v>
      </c>
      <c r="L349" s="269">
        <f t="shared" si="151"/>
        <v>2.17499999999998</v>
      </c>
      <c r="M349" s="226">
        <f ca="1" t="shared" si="152"/>
        <v>37.224</v>
      </c>
      <c r="N349" s="280">
        <f ca="1" t="shared" si="157"/>
        <v>0.105196718075426</v>
      </c>
      <c r="O349" s="226">
        <f t="shared" si="161"/>
        <v>13.2</v>
      </c>
      <c r="P349" s="19">
        <f ca="1" t="shared" si="126"/>
        <v>19.2</v>
      </c>
      <c r="Q349" s="226">
        <f ca="1" t="shared" si="160"/>
        <v>2.82</v>
      </c>
      <c r="R349" s="269">
        <f ca="1" t="shared" si="133"/>
        <v>0.595776466811356</v>
      </c>
      <c r="S349" s="266">
        <f ca="1" t="shared" si="134"/>
        <v>55.9701514957917</v>
      </c>
      <c r="T349" s="226">
        <f ca="1">(1+OFFSET('玩法产出(新)'!$C$18,MATCH(X349,'玩法产出(新)'!$B$19:$B$25,0),1)*(1-V349)+OFFSET('玩法产出(新)'!$C$18,1+MATCH(X349,'玩法产出(新)'!$B$19:$B$25,0),1)*(V349))^AA349*(1+OFFSET('玩法产出(新)'!$C$18,MATCH(X349,'玩法产出(新)'!$B$19:$B$25,0),3)*(1-V349)+OFFSET('玩法产出(新)'!$C$18,1+MATCH(X349,'玩法产出(新)'!$B$19:$B$25,0),3)*(V349))^AB349*(1+OFFSET('玩法产出(新)'!$C$18,MATCH(X349,'玩法产出(新)'!$B$19:$B$25,0),4)*(1-V349)+OFFSET('玩法产出(新)'!$C$18,1+MATCH(X349,'玩法产出(新)'!$B$19:$B$25,0),4)*(V349))^AC349*(1+OFFSET('玩法产出(新)'!$C$18,MATCH(X349,'玩法产出(新)'!$B$19:$B$25,0),5)*(1+V349)+OFFSET('玩法产出(新)'!$C$18,1+MATCH(X349,'玩法产出(新)'!$B$19:$B$25,5),1)*(V349))^AD349*(1+OFFSET('玩法产出(新)'!$C$18,MATCH(X349,'玩法产出(新)'!$B$19:$B$25,0),6)*(1+V349)+OFFSET('玩法产出(新)'!$C$18,1+MATCH(X349,'玩法产出(新)'!$B$19:$B$25,0),6)*(V349))^AE349</f>
        <v>44.1178651155005</v>
      </c>
      <c r="U349" s="226">
        <f ca="1" t="shared" si="153"/>
        <v>0.152628774288209</v>
      </c>
      <c r="V349" s="226">
        <f ca="1">COUNTIF($X$124:$X349,X349)/(COUNTIF($X$124:$X$723,X349)+1)</f>
        <v>0.22680412371134</v>
      </c>
      <c r="W349" s="19">
        <v>30</v>
      </c>
      <c r="X349" s="19" t="s">
        <v>326</v>
      </c>
      <c r="Y349" s="19">
        <f t="shared" si="159"/>
        <v>23760</v>
      </c>
      <c r="Z349" s="19">
        <f ca="1" t="shared" si="135"/>
        <v>0.985606890034364</v>
      </c>
      <c r="AA349" s="282">
        <f ca="1" t="shared" si="136"/>
        <v>5.82950416666666</v>
      </c>
      <c r="AB349" s="282">
        <f ca="1" t="shared" si="137"/>
        <v>17.8145833333333</v>
      </c>
      <c r="AC349" s="282">
        <f ca="1" t="shared" si="138"/>
        <v>4.8426</v>
      </c>
      <c r="AD349" s="282">
        <f ca="1" t="shared" si="139"/>
        <v>1.21065</v>
      </c>
      <c r="AE349" s="282">
        <f ca="1" t="shared" si="140"/>
        <v>0.3026625</v>
      </c>
      <c r="AF349" s="19" t="str">
        <f t="shared" si="141"/>
        <v>粉2</v>
      </c>
      <c r="AG349" s="19">
        <f>IFERROR(_xlfn.XLOOKUP(C349+1,[2]基因升级!$E$141:$E$500,[2]基因升级!$D$141:$D$500)-1,AG348)</f>
        <v>92</v>
      </c>
      <c r="AH349" s="19">
        <v>7</v>
      </c>
      <c r="AI349" s="19">
        <f t="shared" si="142"/>
        <v>9.2039189417803</v>
      </c>
      <c r="AJ349" s="19">
        <f t="shared" si="154"/>
        <v>0</v>
      </c>
      <c r="AK349" s="269">
        <v>1.864</v>
      </c>
      <c r="AL349" s="287">
        <f t="shared" si="162"/>
        <v>10.6799999999999</v>
      </c>
      <c r="AM349" s="287">
        <f t="shared" si="163"/>
        <v>7.08</v>
      </c>
      <c r="AN349" s="293"/>
      <c r="AQ349" s="19">
        <f t="shared" si="143"/>
        <v>2.05977008160328</v>
      </c>
      <c r="AR349" s="19">
        <f t="shared" si="144"/>
        <v>1.61449664180865</v>
      </c>
      <c r="AS349" s="19">
        <f t="shared" si="145"/>
        <v>1</v>
      </c>
      <c r="AT349" s="19">
        <f t="shared" si="146"/>
        <v>1</v>
      </c>
      <c r="AU349" s="19">
        <f t="shared" si="147"/>
        <v>1</v>
      </c>
      <c r="AV349" s="232">
        <f t="shared" si="127"/>
        <v>0.0399999999999991</v>
      </c>
      <c r="AW349" s="232">
        <f t="shared" si="128"/>
        <v>0.04</v>
      </c>
      <c r="AX349" s="232">
        <f t="shared" si="129"/>
        <v>0</v>
      </c>
      <c r="AY349" s="232">
        <f t="shared" si="130"/>
        <v>0</v>
      </c>
      <c r="AZ349" s="232">
        <f t="shared" si="131"/>
        <v>0</v>
      </c>
    </row>
    <row r="350" spans="1:52">
      <c r="A350" s="269"/>
      <c r="C350" s="19">
        <v>227</v>
      </c>
      <c r="D350" s="86">
        <f ca="1" t="shared" si="155"/>
        <v>183.17998569789</v>
      </c>
      <c r="E350" s="251">
        <f ca="1" t="shared" si="132"/>
        <v>0.353977765111296</v>
      </c>
      <c r="F350" s="269">
        <f ca="1" t="shared" si="148"/>
        <v>349.947844921065</v>
      </c>
      <c r="G350" s="283">
        <f ca="1" t="shared" si="149"/>
        <v>123.873756050673</v>
      </c>
      <c r="H350" s="279">
        <f ca="1" t="shared" si="150"/>
        <v>0.201151969066615</v>
      </c>
      <c r="I350" s="269">
        <f ca="1">SUM($J$125:J350)/SUM($H$125:H350)</f>
        <v>0.571429899307251</v>
      </c>
      <c r="J350" s="284">
        <f t="shared" si="156"/>
        <v>0.0966986969054489</v>
      </c>
      <c r="K350" s="19">
        <f t="shared" si="158"/>
        <v>23600</v>
      </c>
      <c r="L350" s="269">
        <f t="shared" si="151"/>
        <v>2.17999999999998</v>
      </c>
      <c r="M350" s="226">
        <f ca="1" t="shared" si="152"/>
        <v>37.488</v>
      </c>
      <c r="N350" s="280">
        <f ca="1" t="shared" si="157"/>
        <v>0.104453272161173</v>
      </c>
      <c r="O350" s="226">
        <f t="shared" si="161"/>
        <v>13.2</v>
      </c>
      <c r="P350" s="19">
        <f ca="1" t="shared" si="126"/>
        <v>19.4</v>
      </c>
      <c r="Q350" s="226">
        <f ca="1" t="shared" si="160"/>
        <v>2.84</v>
      </c>
      <c r="R350" s="269">
        <f ca="1" t="shared" si="133"/>
        <v>0.597403226974976</v>
      </c>
      <c r="S350" s="266">
        <f ca="1" t="shared" si="134"/>
        <v>56.1229772918364</v>
      </c>
      <c r="T350" s="226">
        <f ca="1">(1+OFFSET('玩法产出(新)'!$C$18,MATCH(X350,'玩法产出(新)'!$B$19:$B$25,0),1)*(1-V350)+OFFSET('玩法产出(新)'!$C$18,1+MATCH(X350,'玩法产出(新)'!$B$19:$B$25,0),1)*(V350))^AA350*(1+OFFSET('玩法产出(新)'!$C$18,MATCH(X350,'玩法产出(新)'!$B$19:$B$25,0),3)*(1-V350)+OFFSET('玩法产出(新)'!$C$18,1+MATCH(X350,'玩法产出(新)'!$B$19:$B$25,0),3)*(V350))^AB350*(1+OFFSET('玩法产出(新)'!$C$18,MATCH(X350,'玩法产出(新)'!$B$19:$B$25,0),4)*(1-V350)+OFFSET('玩法产出(新)'!$C$18,1+MATCH(X350,'玩法产出(新)'!$B$19:$B$25,0),4)*(V350))^AC350*(1+OFFSET('玩法产出(新)'!$C$18,MATCH(X350,'玩法产出(新)'!$B$19:$B$25,0),5)*(1+V350)+OFFSET('玩法产出(新)'!$C$18,1+MATCH(X350,'玩法产出(新)'!$B$19:$B$25,5),1)*(V350))^AD350*(1+OFFSET('玩法产出(新)'!$C$18,MATCH(X350,'玩法产出(新)'!$B$19:$B$25,0),6)*(1+V350)+OFFSET('玩法产出(新)'!$C$18,1+MATCH(X350,'玩法产出(新)'!$B$19:$B$25,0),6)*(V350))^AE350</f>
        <v>44.5764098467718</v>
      </c>
      <c r="U350" s="226">
        <f ca="1" t="shared" si="153"/>
        <v>0.152825796044674</v>
      </c>
      <c r="V350" s="226">
        <f ca="1">COUNTIF($X$124:$X350,X350)/(COUNTIF($X$124:$X$723,X350)+1)</f>
        <v>0.228865979381443</v>
      </c>
      <c r="W350" s="19">
        <v>30</v>
      </c>
      <c r="X350" s="19" t="s">
        <v>326</v>
      </c>
      <c r="Y350" s="19">
        <f t="shared" si="159"/>
        <v>23860</v>
      </c>
      <c r="Z350" s="19">
        <f ca="1" t="shared" si="135"/>
        <v>0.969212560395189</v>
      </c>
      <c r="AA350" s="282">
        <f ca="1" t="shared" si="136"/>
        <v>5.72974270833333</v>
      </c>
      <c r="AB350" s="282">
        <f ca="1" t="shared" si="137"/>
        <v>17.8869791666667</v>
      </c>
      <c r="AC350" s="282">
        <f ca="1" t="shared" si="138"/>
        <v>4.86345</v>
      </c>
      <c r="AD350" s="282">
        <f ca="1" t="shared" si="139"/>
        <v>1.2158625</v>
      </c>
      <c r="AE350" s="282">
        <f ca="1" t="shared" si="140"/>
        <v>0.303965625</v>
      </c>
      <c r="AF350" s="19" t="str">
        <f t="shared" si="141"/>
        <v>粉2</v>
      </c>
      <c r="AG350" s="19">
        <f>IFERROR(_xlfn.XLOOKUP(C350+1,[2]基因升级!$E$141:$E$500,[2]基因升级!$D$141:$D$500)-1,AG349)</f>
        <v>92</v>
      </c>
      <c r="AH350" s="19">
        <v>7</v>
      </c>
      <c r="AI350" s="19">
        <f t="shared" si="142"/>
        <v>9.2039189417803</v>
      </c>
      <c r="AJ350" s="19">
        <f t="shared" si="154"/>
        <v>0</v>
      </c>
      <c r="AK350" s="269">
        <v>1.864</v>
      </c>
      <c r="AL350" s="287">
        <f t="shared" si="162"/>
        <v>10.7199999999999</v>
      </c>
      <c r="AM350" s="287">
        <f t="shared" si="163"/>
        <v>7.12</v>
      </c>
      <c r="AN350" s="293"/>
      <c r="AQ350" s="19">
        <f t="shared" si="143"/>
        <v>2.06535208200384</v>
      </c>
      <c r="AR350" s="19">
        <f t="shared" si="144"/>
        <v>1.61887194611167</v>
      </c>
      <c r="AS350" s="19">
        <f t="shared" si="145"/>
        <v>1</v>
      </c>
      <c r="AT350" s="19">
        <f t="shared" si="146"/>
        <v>1</v>
      </c>
      <c r="AU350" s="19">
        <f t="shared" si="147"/>
        <v>1</v>
      </c>
      <c r="AV350" s="232">
        <f t="shared" si="127"/>
        <v>0.0399999999999991</v>
      </c>
      <c r="AW350" s="232">
        <f t="shared" si="128"/>
        <v>0.04</v>
      </c>
      <c r="AX350" s="232">
        <f t="shared" si="129"/>
        <v>0</v>
      </c>
      <c r="AY350" s="232">
        <f t="shared" si="130"/>
        <v>0</v>
      </c>
      <c r="AZ350" s="232">
        <f t="shared" si="131"/>
        <v>0</v>
      </c>
    </row>
    <row r="351" spans="1:52">
      <c r="A351" s="269"/>
      <c r="C351" s="19">
        <v>228</v>
      </c>
      <c r="D351" s="86">
        <f ca="1" t="shared" si="155"/>
        <v>183.53308425087</v>
      </c>
      <c r="E351" s="251">
        <f ca="1" t="shared" si="132"/>
        <v>0.353098552980179</v>
      </c>
      <c r="F351" s="269">
        <f ca="1" t="shared" si="148"/>
        <v>351.385840687797</v>
      </c>
      <c r="G351" s="283">
        <f ca="1" t="shared" si="149"/>
        <v>124.073831884585</v>
      </c>
      <c r="H351" s="279">
        <f ca="1" t="shared" si="150"/>
        <v>0.200075833911498</v>
      </c>
      <c r="I351" s="269">
        <f ca="1">SUM($J$125:J351)/SUM($H$125:H351)</f>
        <v>0.571272336962563</v>
      </c>
      <c r="J351" s="284">
        <f t="shared" si="156"/>
        <v>0.0963555732065799</v>
      </c>
      <c r="K351" s="19">
        <f t="shared" si="158"/>
        <v>23700</v>
      </c>
      <c r="L351" s="269">
        <f t="shared" si="151"/>
        <v>2.18499999999998</v>
      </c>
      <c r="M351" s="226">
        <f ca="1" t="shared" si="152"/>
        <v>37.752</v>
      </c>
      <c r="N351" s="280">
        <f ca="1" t="shared" si="157"/>
        <v>0.103720260704911</v>
      </c>
      <c r="O351" s="226">
        <f t="shared" si="161"/>
        <v>13.2</v>
      </c>
      <c r="P351" s="19">
        <f ca="1" t="shared" si="126"/>
        <v>19.6</v>
      </c>
      <c r="Q351" s="226">
        <f ca="1" t="shared" si="160"/>
        <v>2.86</v>
      </c>
      <c r="R351" s="269">
        <f ca="1" t="shared" si="133"/>
        <v>0.599032083293427</v>
      </c>
      <c r="S351" s="266">
        <f ca="1" t="shared" si="134"/>
        <v>56.2760000109051</v>
      </c>
      <c r="T351" s="226">
        <f ca="1">(1+OFFSET('玩法产出(新)'!$C$18,MATCH(X351,'玩法产出(新)'!$B$19:$B$25,0),1)*(1-V351)+OFFSET('玩法产出(新)'!$C$18,1+MATCH(X351,'玩法产出(新)'!$B$19:$B$25,0),1)*(V351))^AA351*(1+OFFSET('玩法产出(新)'!$C$18,MATCH(X351,'玩法产出(新)'!$B$19:$B$25,0),3)*(1-V351)+OFFSET('玩法产出(新)'!$C$18,1+MATCH(X351,'玩法产出(新)'!$B$19:$B$25,0),3)*(V351))^AB351*(1+OFFSET('玩法产出(新)'!$C$18,MATCH(X351,'玩法产出(新)'!$B$19:$B$25,0),4)*(1-V351)+OFFSET('玩法产出(新)'!$C$18,1+MATCH(X351,'玩法产出(新)'!$B$19:$B$25,0),4)*(V351))^AC351*(1+OFFSET('玩法产出(新)'!$C$18,MATCH(X351,'玩法产出(新)'!$B$19:$B$25,0),5)*(1+V351)+OFFSET('玩法产出(新)'!$C$18,1+MATCH(X351,'玩法产出(新)'!$B$19:$B$25,5),1)*(V351))^AD351*(1+OFFSET('玩法产出(新)'!$C$18,MATCH(X351,'玩法产出(新)'!$B$19:$B$25,0),6)*(1+V351)+OFFSET('玩法产出(新)'!$C$18,1+MATCH(X351,'玩法产出(新)'!$B$19:$B$25,0),6)*(V351))^AE351</f>
        <v>45.0403206147237</v>
      </c>
      <c r="U351" s="226">
        <f ca="1" t="shared" si="153"/>
        <v>0.153022719068688</v>
      </c>
      <c r="V351" s="226">
        <f ca="1">COUNTIF($X$124:$X351,X351)/(COUNTIF($X$124:$X$723,X351)+1)</f>
        <v>0.230927835051546</v>
      </c>
      <c r="W351" s="19">
        <v>30</v>
      </c>
      <c r="X351" s="19" t="s">
        <v>326</v>
      </c>
      <c r="Y351" s="19">
        <f t="shared" si="159"/>
        <v>23960</v>
      </c>
      <c r="Z351" s="19">
        <f ca="1" t="shared" si="135"/>
        <v>0.952801775257732</v>
      </c>
      <c r="AA351" s="282">
        <f ca="1" t="shared" si="136"/>
        <v>5.62998125</v>
      </c>
      <c r="AB351" s="282">
        <f ca="1" t="shared" si="137"/>
        <v>17.959375</v>
      </c>
      <c r="AC351" s="282">
        <f ca="1" t="shared" si="138"/>
        <v>4.8843</v>
      </c>
      <c r="AD351" s="282">
        <f ca="1" t="shared" si="139"/>
        <v>1.221075</v>
      </c>
      <c r="AE351" s="282">
        <f ca="1" t="shared" si="140"/>
        <v>0.30526875</v>
      </c>
      <c r="AF351" s="19" t="str">
        <f t="shared" si="141"/>
        <v>粉2</v>
      </c>
      <c r="AG351" s="19">
        <f>IFERROR(_xlfn.XLOOKUP(C351+1,[2]基因升级!$E$141:$E$500,[2]基因升级!$D$141:$D$500)-1,AG350)</f>
        <v>92</v>
      </c>
      <c r="AH351" s="19">
        <v>7</v>
      </c>
      <c r="AI351" s="19">
        <f t="shared" si="142"/>
        <v>9.2039189417803</v>
      </c>
      <c r="AJ351" s="19">
        <f t="shared" si="154"/>
        <v>0</v>
      </c>
      <c r="AK351" s="269">
        <v>1.864</v>
      </c>
      <c r="AL351" s="287">
        <f t="shared" si="162"/>
        <v>10.7599999999999</v>
      </c>
      <c r="AM351" s="287">
        <f t="shared" si="163"/>
        <v>7.16</v>
      </c>
      <c r="AN351" s="293"/>
      <c r="AQ351" s="19">
        <f t="shared" si="143"/>
        <v>2.07094920968911</v>
      </c>
      <c r="AR351" s="19">
        <f t="shared" si="144"/>
        <v>1.62325910753922</v>
      </c>
      <c r="AS351" s="19">
        <f t="shared" si="145"/>
        <v>1</v>
      </c>
      <c r="AT351" s="19">
        <f t="shared" si="146"/>
        <v>1</v>
      </c>
      <c r="AU351" s="19">
        <f t="shared" si="147"/>
        <v>1</v>
      </c>
      <c r="AV351" s="232">
        <f t="shared" si="127"/>
        <v>0.0399999999999991</v>
      </c>
      <c r="AW351" s="232">
        <f t="shared" si="128"/>
        <v>0.04</v>
      </c>
      <c r="AX351" s="232">
        <f t="shared" si="129"/>
        <v>0</v>
      </c>
      <c r="AY351" s="232">
        <f t="shared" si="130"/>
        <v>0</v>
      </c>
      <c r="AZ351" s="232">
        <f t="shared" si="131"/>
        <v>0</v>
      </c>
    </row>
    <row r="352" spans="1:52">
      <c r="A352" s="269"/>
      <c r="C352" s="19">
        <v>229</v>
      </c>
      <c r="D352" s="86">
        <f ca="1" t="shared" si="155"/>
        <v>183.867834243034</v>
      </c>
      <c r="E352" s="251">
        <f ca="1" t="shared" si="132"/>
        <v>0.334749992164066</v>
      </c>
      <c r="F352" s="269">
        <f ca="1" t="shared" si="148"/>
        <v>371.240768629823</v>
      </c>
      <c r="G352" s="283">
        <f ca="1" t="shared" si="149"/>
        <v>124.272844389815</v>
      </c>
      <c r="H352" s="279">
        <f ca="1" t="shared" si="150"/>
        <v>0.199012505230627</v>
      </c>
      <c r="I352" s="269">
        <f ca="1">SUM($J$125:J352)/SUM($H$125:H352)</f>
        <v>0.571117660675535</v>
      </c>
      <c r="J352" s="284">
        <f t="shared" si="156"/>
        <v>0.0960150396695099</v>
      </c>
      <c r="K352" s="19">
        <f t="shared" si="158"/>
        <v>23800</v>
      </c>
      <c r="L352" s="269">
        <f t="shared" si="151"/>
        <v>2.18999999999998</v>
      </c>
      <c r="M352" s="226">
        <f ca="1" t="shared" si="152"/>
        <v>38.0159999999999</v>
      </c>
      <c r="N352" s="280">
        <f ca="1" t="shared" si="157"/>
        <v>0.102997465561117</v>
      </c>
      <c r="O352" s="226">
        <f t="shared" si="161"/>
        <v>13.2</v>
      </c>
      <c r="P352" s="19">
        <f ca="1" t="shared" si="126"/>
        <v>19.8</v>
      </c>
      <c r="Q352" s="226">
        <f ca="1" t="shared" si="160"/>
        <v>2.88</v>
      </c>
      <c r="R352" s="269">
        <f ca="1" t="shared" si="133"/>
        <v>0.600476946282322</v>
      </c>
      <c r="S352" s="266">
        <f ca="1" t="shared" si="134"/>
        <v>56.4117374978386</v>
      </c>
      <c r="T352" s="226">
        <f ca="1">(1+OFFSET('玩法产出(新)'!$C$18,MATCH(X352,'玩法产出(新)'!$B$19:$B$25,0),1)*(1-V352)+OFFSET('玩法产出(新)'!$C$18,1+MATCH(X352,'玩法产出(新)'!$B$19:$B$25,0),1)*(V352))^AA352*(1+OFFSET('玩法产出(新)'!$C$18,MATCH(X352,'玩法产出(新)'!$B$19:$B$25,0),3)*(1-V352)+OFFSET('玩法产出(新)'!$C$18,1+MATCH(X352,'玩法产出(新)'!$B$19:$B$25,0),3)*(V352))^AB352*(1+OFFSET('玩法产出(新)'!$C$18,MATCH(X352,'玩法产出(新)'!$B$19:$B$25,0),4)*(1-V352)+OFFSET('玩法产出(新)'!$C$18,1+MATCH(X352,'玩法产出(新)'!$B$19:$B$25,0),4)*(V352))^AC352*(1+OFFSET('玩法产出(新)'!$C$18,MATCH(X352,'玩法产出(新)'!$B$19:$B$25,0),5)*(1+V352)+OFFSET('玩法产出(新)'!$C$18,1+MATCH(X352,'玩法产出(新)'!$B$19:$B$25,5),1)*(V352))^AD352*(1+OFFSET('玩法产出(新)'!$C$18,MATCH(X352,'玩法产出(新)'!$B$19:$B$25,0),6)*(1+V352)+OFFSET('玩法产出(新)'!$C$18,1+MATCH(X352,'玩法产出(新)'!$B$19:$B$25,0),6)*(V352))^AE352</f>
        <v>45.4558678164873</v>
      </c>
      <c r="U352" s="226">
        <f ca="1" t="shared" si="153"/>
        <v>0.135737486933439</v>
      </c>
      <c r="V352" s="226">
        <f ca="1">COUNTIF($X$124:$X352,X352)/(COUNTIF($X$124:$X$723,X352)+1)</f>
        <v>0.232989690721649</v>
      </c>
      <c r="W352" s="19">
        <v>30</v>
      </c>
      <c r="X352" s="19" t="s">
        <v>326</v>
      </c>
      <c r="Y352" s="19">
        <f t="shared" si="159"/>
        <v>24060</v>
      </c>
      <c r="Z352" s="19">
        <f ca="1" t="shared" si="135"/>
        <v>0.941753959020619</v>
      </c>
      <c r="AA352" s="282">
        <f ca="1" t="shared" si="136"/>
        <v>5.561990625</v>
      </c>
      <c r="AB352" s="282">
        <f ca="1" t="shared" si="137"/>
        <v>18</v>
      </c>
      <c r="AC352" s="282">
        <f ca="1" t="shared" si="138"/>
        <v>4.90515</v>
      </c>
      <c r="AD352" s="282">
        <f ca="1" t="shared" si="139"/>
        <v>1.2262875</v>
      </c>
      <c r="AE352" s="282">
        <f ca="1" t="shared" si="140"/>
        <v>0.306571875</v>
      </c>
      <c r="AF352" s="19" t="str">
        <f t="shared" si="141"/>
        <v>粉2</v>
      </c>
      <c r="AG352" s="19">
        <f>IFERROR(_xlfn.XLOOKUP(C352+1,[2]基因升级!$E$141:$E$500,[2]基因升级!$D$141:$D$500)-1,AG351)</f>
        <v>92</v>
      </c>
      <c r="AH352" s="19">
        <v>7</v>
      </c>
      <c r="AI352" s="19">
        <f t="shared" si="142"/>
        <v>9.2039189417803</v>
      </c>
      <c r="AJ352" s="19">
        <f t="shared" si="154"/>
        <v>0</v>
      </c>
      <c r="AK352" s="269">
        <v>1.864</v>
      </c>
      <c r="AL352" s="287">
        <f t="shared" si="162"/>
        <v>10.7999999999999</v>
      </c>
      <c r="AM352" s="287">
        <f t="shared" si="163"/>
        <v>7.2</v>
      </c>
      <c r="AN352" s="293"/>
      <c r="AQ352" s="19">
        <f t="shared" si="143"/>
        <v>2.07656150565421</v>
      </c>
      <c r="AR352" s="19">
        <f t="shared" si="144"/>
        <v>1.62765815822426</v>
      </c>
      <c r="AS352" s="19">
        <f t="shared" si="145"/>
        <v>1</v>
      </c>
      <c r="AT352" s="19">
        <f t="shared" si="146"/>
        <v>1</v>
      </c>
      <c r="AU352" s="19">
        <f t="shared" si="147"/>
        <v>1</v>
      </c>
      <c r="AV352" s="232">
        <f t="shared" si="127"/>
        <v>0.0399999999999991</v>
      </c>
      <c r="AW352" s="232">
        <f t="shared" si="128"/>
        <v>0.04</v>
      </c>
      <c r="AX352" s="232">
        <f t="shared" si="129"/>
        <v>0</v>
      </c>
      <c r="AY352" s="232">
        <f t="shared" si="130"/>
        <v>0</v>
      </c>
      <c r="AZ352" s="232">
        <f t="shared" si="131"/>
        <v>0</v>
      </c>
    </row>
    <row r="353" spans="1:52">
      <c r="A353" s="269"/>
      <c r="C353" s="19">
        <v>230</v>
      </c>
      <c r="D353" s="86">
        <f ca="1" t="shared" si="155"/>
        <v>184.179341570599</v>
      </c>
      <c r="E353" s="251">
        <f ca="1" t="shared" si="132"/>
        <v>0.311507327564744</v>
      </c>
      <c r="F353" s="269">
        <f ca="1" t="shared" si="148"/>
        <v>399.575853008853</v>
      </c>
      <c r="G353" s="283">
        <f ca="1" t="shared" si="149"/>
        <v>124.470806130191</v>
      </c>
      <c r="H353" s="279">
        <f ca="1" t="shared" si="150"/>
        <v>0.197961740375561</v>
      </c>
      <c r="I353" s="269">
        <f ca="1">SUM($J$125:J353)/SUM($H$125:H353)</f>
        <v>0.570965810776844</v>
      </c>
      <c r="J353" s="284">
        <f t="shared" si="156"/>
        <v>0.0956770657525965</v>
      </c>
      <c r="K353" s="19">
        <f t="shared" si="158"/>
        <v>23900</v>
      </c>
      <c r="L353" s="269">
        <f t="shared" si="151"/>
        <v>2.19499999999998</v>
      </c>
      <c r="M353" s="226">
        <f ca="1" t="shared" si="152"/>
        <v>38.28</v>
      </c>
      <c r="N353" s="280">
        <f ca="1" t="shared" si="157"/>
        <v>0.102284674622972</v>
      </c>
      <c r="O353" s="226">
        <f t="shared" si="161"/>
        <v>13.2</v>
      </c>
      <c r="P353" s="19">
        <f ca="1" t="shared" si="126"/>
        <v>20</v>
      </c>
      <c r="Q353" s="226">
        <f ca="1" t="shared" si="160"/>
        <v>2.9</v>
      </c>
      <c r="R353" s="269">
        <f ca="1" t="shared" si="133"/>
        <v>0.601685586726375</v>
      </c>
      <c r="S353" s="266">
        <f ca="1" t="shared" si="134"/>
        <v>56.5252830850277</v>
      </c>
      <c r="T353" s="226">
        <f ca="1">(1+OFFSET('玩法产出(新)'!$C$18,MATCH(X353,'玩法产出(新)'!$B$19:$B$25,0),1)*(1-V353)+OFFSET('玩法产出(新)'!$C$18,1+MATCH(X353,'玩法产出(新)'!$B$19:$B$25,0),1)*(V353))^AA353*(1+OFFSET('玩法产出(新)'!$C$18,MATCH(X353,'玩法产出(新)'!$B$19:$B$25,0),3)*(1-V353)+OFFSET('玩法产出(新)'!$C$18,1+MATCH(X353,'玩法产出(新)'!$B$19:$B$25,0),3)*(V353))^AB353*(1+OFFSET('玩法产出(新)'!$C$18,MATCH(X353,'玩法产出(新)'!$B$19:$B$25,0),4)*(1-V353)+OFFSET('玩法产出(新)'!$C$18,1+MATCH(X353,'玩法产出(新)'!$B$19:$B$25,0),4)*(V353))^AC353*(1+OFFSET('玩法产出(新)'!$C$18,MATCH(X353,'玩法产出(新)'!$B$19:$B$25,0),5)*(1+V353)+OFFSET('玩法产出(新)'!$C$18,1+MATCH(X353,'玩法产出(新)'!$B$19:$B$25,5),1)*(V353))^AD353*(1+OFFSET('玩法产出(新)'!$C$18,MATCH(X353,'玩法产出(新)'!$B$19:$B$25,0),6)*(1+V353)+OFFSET('玩法产出(新)'!$C$18,1+MATCH(X353,'玩法产出(新)'!$B$19:$B$25,0),6)*(V353))^AE353</f>
        <v>45.8064200991108</v>
      </c>
      <c r="U353" s="226">
        <f ca="1" t="shared" si="153"/>
        <v>0.113545587189176</v>
      </c>
      <c r="V353" s="226">
        <f ca="1">COUNTIF($X$124:$X353,X353)/(COUNTIF($X$124:$X$723,X353)+1)</f>
        <v>0.235051546391753</v>
      </c>
      <c r="W353" s="19">
        <v>30</v>
      </c>
      <c r="X353" s="19" t="s">
        <v>326</v>
      </c>
      <c r="Y353" s="19">
        <f t="shared" si="159"/>
        <v>24160</v>
      </c>
      <c r="Z353" s="19">
        <f ca="1" t="shared" si="135"/>
        <v>0.937576886597938</v>
      </c>
      <c r="AA353" s="282">
        <f ca="1" t="shared" si="136"/>
        <v>5.534625</v>
      </c>
      <c r="AB353" s="282">
        <f ca="1" t="shared" si="137"/>
        <v>18</v>
      </c>
      <c r="AC353" s="282">
        <f ca="1" t="shared" si="138"/>
        <v>4.926</v>
      </c>
      <c r="AD353" s="282">
        <f ca="1" t="shared" si="139"/>
        <v>1.2315</v>
      </c>
      <c r="AE353" s="282">
        <f ca="1" t="shared" si="140"/>
        <v>0.307875</v>
      </c>
      <c r="AF353" s="19" t="str">
        <f t="shared" si="141"/>
        <v>粉2</v>
      </c>
      <c r="AG353" s="19">
        <f>IFERROR(_xlfn.XLOOKUP(C353+1,[2]基因升级!$E$141:$E$500,[2]基因升级!$D$141:$D$500)-1,AG352)</f>
        <v>92</v>
      </c>
      <c r="AH353" s="19">
        <v>7</v>
      </c>
      <c r="AI353" s="19">
        <f t="shared" si="142"/>
        <v>9.2039189417803</v>
      </c>
      <c r="AJ353" s="19">
        <f t="shared" si="154"/>
        <v>0</v>
      </c>
      <c r="AK353" s="269">
        <v>1.864</v>
      </c>
      <c r="AL353" s="287">
        <f t="shared" si="162"/>
        <v>10.8399999999999</v>
      </c>
      <c r="AM353" s="287">
        <f t="shared" si="163"/>
        <v>7.24</v>
      </c>
      <c r="AN353" s="293"/>
      <c r="AQ353" s="19">
        <f t="shared" si="143"/>
        <v>2.08218901100535</v>
      </c>
      <c r="AR353" s="19">
        <f t="shared" si="144"/>
        <v>1.6320691303868</v>
      </c>
      <c r="AS353" s="19">
        <f t="shared" si="145"/>
        <v>1</v>
      </c>
      <c r="AT353" s="19">
        <f t="shared" si="146"/>
        <v>1</v>
      </c>
      <c r="AU353" s="19">
        <f t="shared" si="147"/>
        <v>1</v>
      </c>
      <c r="AV353" s="232">
        <f t="shared" si="127"/>
        <v>0.0399999999999991</v>
      </c>
      <c r="AW353" s="232">
        <f t="shared" si="128"/>
        <v>0.04</v>
      </c>
      <c r="AX353" s="232">
        <f t="shared" si="129"/>
        <v>0</v>
      </c>
      <c r="AY353" s="232">
        <f t="shared" si="130"/>
        <v>0</v>
      </c>
      <c r="AZ353" s="232">
        <f t="shared" si="131"/>
        <v>0</v>
      </c>
    </row>
    <row r="354" spans="1:52">
      <c r="A354" s="269"/>
      <c r="C354" s="19">
        <v>231</v>
      </c>
      <c r="D354" s="86">
        <f ca="1" t="shared" si="155"/>
        <v>184.489959108939</v>
      </c>
      <c r="E354" s="251">
        <f ca="1" t="shared" si="132"/>
        <v>0.31061753834023</v>
      </c>
      <c r="F354" s="269">
        <f ca="1" t="shared" si="148"/>
        <v>401.354444115961</v>
      </c>
      <c r="G354" s="283">
        <f ca="1" t="shared" si="149"/>
        <v>124.667729433211</v>
      </c>
      <c r="H354" s="279">
        <f ca="1" t="shared" si="150"/>
        <v>0.196923303020682</v>
      </c>
      <c r="I354" s="269">
        <f ca="1">SUM($J$125:J354)/SUM($H$125:H354)</f>
        <v>0.570816729147263</v>
      </c>
      <c r="J354" s="284">
        <f t="shared" si="156"/>
        <v>0.0953416214057654</v>
      </c>
      <c r="K354" s="19">
        <f t="shared" si="158"/>
        <v>24000</v>
      </c>
      <c r="L354" s="269">
        <f t="shared" si="151"/>
        <v>2.19999999999998</v>
      </c>
      <c r="M354" s="226">
        <f ca="1" t="shared" si="152"/>
        <v>38.5439999999999</v>
      </c>
      <c r="N354" s="280">
        <f ca="1" t="shared" si="157"/>
        <v>0.101581681614903</v>
      </c>
      <c r="O354" s="226">
        <f t="shared" si="161"/>
        <v>13.2</v>
      </c>
      <c r="P354" s="19">
        <f ca="1" t="shared" si="126"/>
        <v>20.2</v>
      </c>
      <c r="Q354" s="226">
        <f ca="1" t="shared" si="160"/>
        <v>2.92</v>
      </c>
      <c r="R354" s="269">
        <f ca="1" t="shared" si="133"/>
        <v>0.602895809461266</v>
      </c>
      <c r="S354" s="266">
        <f ca="1" t="shared" si="134"/>
        <v>56.6389773203473</v>
      </c>
      <c r="T354" s="226">
        <f ca="1">(1+OFFSET('玩法产出(新)'!$C$18,MATCH(X354,'玩法产出(新)'!$B$19:$B$25,0),1)*(1-V354)+OFFSET('玩法产出(新)'!$C$18,1+MATCH(X354,'玩法产出(新)'!$B$19:$B$25,0),1)*(V354))^AA354*(1+OFFSET('玩法产出(新)'!$C$18,MATCH(X354,'玩法产出(新)'!$B$19:$B$25,0),3)*(1-V354)+OFFSET('玩法产出(新)'!$C$18,1+MATCH(X354,'玩法产出(新)'!$B$19:$B$25,0),3)*(V354))^AB354*(1+OFFSET('玩法产出(新)'!$C$18,MATCH(X354,'玩法产出(新)'!$B$19:$B$25,0),4)*(1-V354)+OFFSET('玩法产出(新)'!$C$18,1+MATCH(X354,'玩法产出(新)'!$B$19:$B$25,0),4)*(V354))^AC354*(1+OFFSET('玩法产出(新)'!$C$18,MATCH(X354,'玩法产出(新)'!$B$19:$B$25,0),5)*(1+V354)+OFFSET('玩法产出(新)'!$C$18,1+MATCH(X354,'玩法产出(新)'!$B$19:$B$25,5),1)*(V354))^AD354*(1+OFFSET('玩法产出(新)'!$C$18,MATCH(X354,'玩法产出(新)'!$B$19:$B$25,0),6)*(1+V354)+OFFSET('玩法产出(新)'!$C$18,1+MATCH(X354,'玩法产出(新)'!$B$19:$B$25,0),6)*(V354))^AE354</f>
        <v>46.1601400604496</v>
      </c>
      <c r="U354" s="226">
        <f ca="1" t="shared" si="153"/>
        <v>0.113694235319562</v>
      </c>
      <c r="V354" s="226">
        <f ca="1">COUNTIF($X$124:$X354,X354)/(COUNTIF($X$124:$X$723,X354)+1)</f>
        <v>0.237113402061856</v>
      </c>
      <c r="W354" s="19">
        <v>30</v>
      </c>
      <c r="X354" s="19" t="s">
        <v>326</v>
      </c>
      <c r="Y354" s="19">
        <f t="shared" si="159"/>
        <v>24260</v>
      </c>
      <c r="Z354" s="19">
        <f ca="1" t="shared" si="135"/>
        <v>0.933395300257732</v>
      </c>
      <c r="AA354" s="282">
        <f ca="1" t="shared" si="136"/>
        <v>5.507259375</v>
      </c>
      <c r="AB354" s="282">
        <f ca="1" t="shared" si="137"/>
        <v>18</v>
      </c>
      <c r="AC354" s="282">
        <f ca="1" t="shared" si="138"/>
        <v>4.94685</v>
      </c>
      <c r="AD354" s="282">
        <f ca="1" t="shared" si="139"/>
        <v>1.2367125</v>
      </c>
      <c r="AE354" s="282">
        <f ca="1" t="shared" si="140"/>
        <v>0.309178125</v>
      </c>
      <c r="AF354" s="19" t="str">
        <f t="shared" si="141"/>
        <v>粉2</v>
      </c>
      <c r="AG354" s="19">
        <f>IFERROR(_xlfn.XLOOKUP(C354+1,[2]基因升级!$E$141:$E$500,[2]基因升级!$D$141:$D$500)-1,AG353)</f>
        <v>92</v>
      </c>
      <c r="AH354" s="19">
        <v>7</v>
      </c>
      <c r="AI354" s="19">
        <f t="shared" si="142"/>
        <v>9.2039189417803</v>
      </c>
      <c r="AJ354" s="19">
        <f t="shared" si="154"/>
        <v>0</v>
      </c>
      <c r="AK354" s="269">
        <v>1.864</v>
      </c>
      <c r="AL354" s="287">
        <f t="shared" si="162"/>
        <v>10.8799999999999</v>
      </c>
      <c r="AM354" s="287">
        <f t="shared" si="163"/>
        <v>7.28</v>
      </c>
      <c r="AN354" s="293"/>
      <c r="AQ354" s="19">
        <f t="shared" si="143"/>
        <v>2.08783176696014</v>
      </c>
      <c r="AR354" s="19">
        <f t="shared" si="144"/>
        <v>1.63649205633417</v>
      </c>
      <c r="AS354" s="19">
        <f t="shared" si="145"/>
        <v>1</v>
      </c>
      <c r="AT354" s="19">
        <f t="shared" si="146"/>
        <v>1</v>
      </c>
      <c r="AU354" s="19">
        <f t="shared" si="147"/>
        <v>1</v>
      </c>
      <c r="AV354" s="232">
        <f t="shared" si="127"/>
        <v>0.0399999999999991</v>
      </c>
      <c r="AW354" s="232">
        <f t="shared" si="128"/>
        <v>0.04</v>
      </c>
      <c r="AX354" s="232">
        <f t="shared" si="129"/>
        <v>0</v>
      </c>
      <c r="AY354" s="232">
        <f t="shared" si="130"/>
        <v>0</v>
      </c>
      <c r="AZ354" s="232">
        <f t="shared" si="131"/>
        <v>0</v>
      </c>
    </row>
    <row r="355" spans="1:52">
      <c r="A355" s="269"/>
      <c r="C355" s="19">
        <v>232</v>
      </c>
      <c r="D355" s="86">
        <f ca="1" t="shared" si="155"/>
        <v>184.799698862223</v>
      </c>
      <c r="E355" s="251">
        <f ca="1" t="shared" si="132"/>
        <v>0.30973975328421</v>
      </c>
      <c r="F355" s="269">
        <f ca="1" t="shared" si="148"/>
        <v>403.124316695615</v>
      </c>
      <c r="G355" s="283">
        <f ca="1" t="shared" si="149"/>
        <v>124.863626396166</v>
      </c>
      <c r="H355" s="279">
        <f ca="1" t="shared" si="150"/>
        <v>0.195896962954151</v>
      </c>
      <c r="I355" s="269">
        <f ca="1">SUM($J$125:J355)/SUM($H$125:H355)</f>
        <v>0.570670359168269</v>
      </c>
      <c r="J355" s="284">
        <f t="shared" si="156"/>
        <v>0.0950086770605623</v>
      </c>
      <c r="K355" s="19">
        <f t="shared" si="158"/>
        <v>24100</v>
      </c>
      <c r="L355" s="269">
        <f t="shared" si="151"/>
        <v>2.20499999999998</v>
      </c>
      <c r="M355" s="226">
        <f ca="1" t="shared" si="152"/>
        <v>38.808</v>
      </c>
      <c r="N355" s="280">
        <f ca="1" t="shared" si="157"/>
        <v>0.100888285893589</v>
      </c>
      <c r="O355" s="226">
        <f t="shared" si="161"/>
        <v>13.2</v>
      </c>
      <c r="P355" s="19">
        <f ca="1" t="shared" si="126"/>
        <v>20.4</v>
      </c>
      <c r="Q355" s="226">
        <f ca="1" t="shared" si="160"/>
        <v>2.94</v>
      </c>
      <c r="R355" s="269">
        <f ca="1" t="shared" si="133"/>
        <v>0.604107613495777</v>
      </c>
      <c r="S355" s="266">
        <f ca="1" t="shared" si="134"/>
        <v>56.7528201106773</v>
      </c>
      <c r="T355" s="226">
        <f ca="1">(1+OFFSET('玩法产出(新)'!$C$18,MATCH(X355,'玩法产出(新)'!$B$19:$B$25,0),1)*(1-V355)+OFFSET('玩法产出(新)'!$C$18,1+MATCH(X355,'玩法产出(新)'!$B$19:$B$25,0),1)*(V355))^AA355*(1+OFFSET('玩法产出(新)'!$C$18,MATCH(X355,'玩法产出(新)'!$B$19:$B$25,0),3)*(1-V355)+OFFSET('玩法产出(新)'!$C$18,1+MATCH(X355,'玩法产出(新)'!$B$19:$B$25,0),3)*(V355))^AB355*(1+OFFSET('玩法产出(新)'!$C$18,MATCH(X355,'玩法产出(新)'!$B$19:$B$25,0),4)*(1-V355)+OFFSET('玩法产出(新)'!$C$18,1+MATCH(X355,'玩法产出(新)'!$B$19:$B$25,0),4)*(V355))^AC355*(1+OFFSET('玩法产出(新)'!$C$18,MATCH(X355,'玩法产出(新)'!$B$19:$B$25,0),5)*(1+V355)+OFFSET('玩法产出(新)'!$C$18,1+MATCH(X355,'玩法产出(新)'!$B$19:$B$25,5),1)*(V355))^AD355*(1+OFFSET('玩法产出(新)'!$C$18,MATCH(X355,'玩法产出(新)'!$B$19:$B$25,0),6)*(1+V355)+OFFSET('玩法产出(新)'!$C$18,1+MATCH(X355,'玩法产出(新)'!$B$19:$B$25,0),6)*(V355))^AE355</f>
        <v>46.5170590109017</v>
      </c>
      <c r="U355" s="226">
        <f ca="1" t="shared" si="153"/>
        <v>0.113842790330059</v>
      </c>
      <c r="V355" s="226">
        <f ca="1">COUNTIF($X$124:$X355,X355)/(COUNTIF($X$124:$X$723,X355)+1)</f>
        <v>0.239175257731959</v>
      </c>
      <c r="W355" s="19">
        <v>30</v>
      </c>
      <c r="X355" s="19" t="s">
        <v>326</v>
      </c>
      <c r="Y355" s="19">
        <f t="shared" si="159"/>
        <v>24360</v>
      </c>
      <c r="Z355" s="19">
        <f ca="1" t="shared" si="135"/>
        <v>0.9292092</v>
      </c>
      <c r="AA355" s="282">
        <f ca="1" t="shared" si="136"/>
        <v>5.47989375</v>
      </c>
      <c r="AB355" s="282">
        <f ca="1" t="shared" si="137"/>
        <v>18</v>
      </c>
      <c r="AC355" s="282">
        <f ca="1" t="shared" si="138"/>
        <v>4.9677</v>
      </c>
      <c r="AD355" s="282">
        <f ca="1" t="shared" si="139"/>
        <v>1.241925</v>
      </c>
      <c r="AE355" s="282">
        <f ca="1" t="shared" si="140"/>
        <v>0.31048125</v>
      </c>
      <c r="AF355" s="19" t="str">
        <f t="shared" si="141"/>
        <v>粉2</v>
      </c>
      <c r="AG355" s="19">
        <f>IFERROR(_xlfn.XLOOKUP(C355+1,[2]基因升级!$E$141:$E$500,[2]基因升级!$D$141:$D$500)-1,AG354)</f>
        <v>93</v>
      </c>
      <c r="AH355" s="19">
        <v>7</v>
      </c>
      <c r="AI355" s="19">
        <f t="shared" si="142"/>
        <v>9.2039189417803</v>
      </c>
      <c r="AJ355" s="19">
        <f t="shared" si="154"/>
        <v>0</v>
      </c>
      <c r="AK355" s="269">
        <v>1.864</v>
      </c>
      <c r="AL355" s="287">
        <f t="shared" si="162"/>
        <v>10.9199999999999</v>
      </c>
      <c r="AM355" s="287">
        <f t="shared" si="163"/>
        <v>7.32</v>
      </c>
      <c r="AN355" s="293"/>
      <c r="AQ355" s="19">
        <f t="shared" si="143"/>
        <v>2.09348981484789</v>
      </c>
      <c r="AR355" s="19">
        <f t="shared" si="144"/>
        <v>1.64092696846129</v>
      </c>
      <c r="AS355" s="19">
        <f t="shared" si="145"/>
        <v>1</v>
      </c>
      <c r="AT355" s="19">
        <f t="shared" si="146"/>
        <v>1</v>
      </c>
      <c r="AU355" s="19">
        <f t="shared" si="147"/>
        <v>1</v>
      </c>
      <c r="AV355" s="232">
        <f t="shared" si="127"/>
        <v>0.0399999999999991</v>
      </c>
      <c r="AW355" s="232">
        <f t="shared" si="128"/>
        <v>0.04</v>
      </c>
      <c r="AX355" s="232">
        <f t="shared" si="129"/>
        <v>0</v>
      </c>
      <c r="AY355" s="232">
        <f t="shared" si="130"/>
        <v>0</v>
      </c>
      <c r="AZ355" s="232">
        <f t="shared" si="131"/>
        <v>0</v>
      </c>
    </row>
    <row r="356" spans="1:52">
      <c r="A356" s="269"/>
      <c r="C356" s="19">
        <v>233</v>
      </c>
      <c r="D356" s="86">
        <f ca="1" t="shared" si="155"/>
        <v>185.108572610449</v>
      </c>
      <c r="E356" s="251">
        <f ca="1" t="shared" si="132"/>
        <v>0.308873748225915</v>
      </c>
      <c r="F356" s="269">
        <f ca="1" t="shared" si="148"/>
        <v>404.885522354503</v>
      </c>
      <c r="G356" s="283">
        <f ca="1" t="shared" si="149"/>
        <v>125.058508892043</v>
      </c>
      <c r="H356" s="279">
        <f ca="1" t="shared" si="150"/>
        <v>0.194882495877309</v>
      </c>
      <c r="I356" s="269">
        <f ca="1">SUM($J$125:J356)/SUM($H$125:H356)</f>
        <v>0.570526645674527</v>
      </c>
      <c r="J356" s="284">
        <f t="shared" si="156"/>
        <v>0.0946782036203899</v>
      </c>
      <c r="K356" s="19">
        <f t="shared" si="158"/>
        <v>24200</v>
      </c>
      <c r="L356" s="269">
        <f t="shared" si="151"/>
        <v>2.20999999999998</v>
      </c>
      <c r="M356" s="226">
        <f ca="1" t="shared" si="152"/>
        <v>39.072</v>
      </c>
      <c r="N356" s="280">
        <f ca="1" t="shared" si="157"/>
        <v>0.100204292256926</v>
      </c>
      <c r="O356" s="226">
        <f t="shared" si="161"/>
        <v>13.2</v>
      </c>
      <c r="P356" s="19">
        <f ca="1" t="shared" si="126"/>
        <v>20.6</v>
      </c>
      <c r="Q356" s="226">
        <f ca="1" t="shared" si="160"/>
        <v>2.96</v>
      </c>
      <c r="R356" s="269">
        <f ca="1" t="shared" si="133"/>
        <v>0.605320997840051</v>
      </c>
      <c r="S356" s="266">
        <f ca="1" t="shared" si="134"/>
        <v>56.8668113630259</v>
      </c>
      <c r="T356" s="226">
        <f ca="1">(1+OFFSET('玩法产出(新)'!$C$18,MATCH(X356,'玩法产出(新)'!$B$19:$B$25,0),1)*(1-V356)+OFFSET('玩法产出(新)'!$C$18,1+MATCH(X356,'玩法产出(新)'!$B$19:$B$25,0),1)*(V356))^AA356*(1+OFFSET('玩法产出(新)'!$C$18,MATCH(X356,'玩法产出(新)'!$B$19:$B$25,0),3)*(1-V356)+OFFSET('玩法产出(新)'!$C$18,1+MATCH(X356,'玩法产出(新)'!$B$19:$B$25,0),3)*(V356))^AB356*(1+OFFSET('玩法产出(新)'!$C$18,MATCH(X356,'玩法产出(新)'!$B$19:$B$25,0),4)*(1-V356)+OFFSET('玩法产出(新)'!$C$18,1+MATCH(X356,'玩法产出(新)'!$B$19:$B$25,0),4)*(V356))^AC356*(1+OFFSET('玩法产出(新)'!$C$18,MATCH(X356,'玩法产出(新)'!$B$19:$B$25,0),5)*(1+V356)+OFFSET('玩法产出(新)'!$C$18,1+MATCH(X356,'玩法产出(新)'!$B$19:$B$25,5),1)*(V356))^AD356*(1+OFFSET('玩法产出(新)'!$C$18,MATCH(X356,'玩法产出(新)'!$B$19:$B$25,0),6)*(1+V356)+OFFSET('玩法产出(新)'!$C$18,1+MATCH(X356,'玩法产出(新)'!$B$19:$B$25,0),6)*(V356))^AE356</f>
        <v>46.8772085933012</v>
      </c>
      <c r="U356" s="226">
        <f ca="1" t="shared" si="153"/>
        <v>0.113991252348599</v>
      </c>
      <c r="V356" s="226">
        <f ca="1">COUNTIF($X$124:$X356,X356)/(COUNTIF($X$124:$X$723,X356)+1)</f>
        <v>0.241237113402062</v>
      </c>
      <c r="W356" s="19">
        <v>30</v>
      </c>
      <c r="X356" s="19" t="s">
        <v>326</v>
      </c>
      <c r="Y356" s="19">
        <f t="shared" si="159"/>
        <v>24460</v>
      </c>
      <c r="Z356" s="19">
        <f ca="1" t="shared" si="135"/>
        <v>0.925018585824742</v>
      </c>
      <c r="AA356" s="282">
        <f ca="1" t="shared" si="136"/>
        <v>5.452528125</v>
      </c>
      <c r="AB356" s="282">
        <f ca="1" t="shared" si="137"/>
        <v>18</v>
      </c>
      <c r="AC356" s="282">
        <f ca="1" t="shared" si="138"/>
        <v>4.98855</v>
      </c>
      <c r="AD356" s="282">
        <f ca="1" t="shared" si="139"/>
        <v>1.2471375</v>
      </c>
      <c r="AE356" s="282">
        <f ca="1" t="shared" si="140"/>
        <v>0.311784375</v>
      </c>
      <c r="AF356" s="19" t="str">
        <f t="shared" si="141"/>
        <v>粉2</v>
      </c>
      <c r="AG356" s="19">
        <f>IFERROR(_xlfn.XLOOKUP(C356+1,[2]基因升级!$E$141:$E$500,[2]基因升级!$D$141:$D$500)-1,AG355)</f>
        <v>93</v>
      </c>
      <c r="AH356" s="19">
        <v>7</v>
      </c>
      <c r="AI356" s="19">
        <f t="shared" si="142"/>
        <v>9.2039189417803</v>
      </c>
      <c r="AJ356" s="19">
        <f t="shared" si="154"/>
        <v>0</v>
      </c>
      <c r="AK356" s="269">
        <v>1.864</v>
      </c>
      <c r="AL356" s="287">
        <f t="shared" si="162"/>
        <v>10.9599999999999</v>
      </c>
      <c r="AM356" s="287">
        <f t="shared" si="163"/>
        <v>7.36</v>
      </c>
      <c r="AN356" s="293"/>
      <c r="AQ356" s="19">
        <f t="shared" si="143"/>
        <v>2.09916319610991</v>
      </c>
      <c r="AR356" s="19">
        <f t="shared" si="144"/>
        <v>1.64537389925082</v>
      </c>
      <c r="AS356" s="19">
        <f t="shared" si="145"/>
        <v>1</v>
      </c>
      <c r="AT356" s="19">
        <f t="shared" si="146"/>
        <v>1</v>
      </c>
      <c r="AU356" s="19">
        <f t="shared" si="147"/>
        <v>1</v>
      </c>
      <c r="AV356" s="232">
        <f t="shared" si="127"/>
        <v>0.0399999999999991</v>
      </c>
      <c r="AW356" s="232">
        <f t="shared" si="128"/>
        <v>0.04</v>
      </c>
      <c r="AX356" s="232">
        <f t="shared" si="129"/>
        <v>0</v>
      </c>
      <c r="AY356" s="232">
        <f t="shared" si="130"/>
        <v>0</v>
      </c>
      <c r="AZ356" s="232">
        <f t="shared" si="131"/>
        <v>0</v>
      </c>
    </row>
    <row r="357" spans="1:52">
      <c r="A357" s="269"/>
      <c r="C357" s="19">
        <v>234</v>
      </c>
      <c r="D357" s="86">
        <f ca="1" t="shared" si="155"/>
        <v>185.416591915164</v>
      </c>
      <c r="E357" s="251">
        <f ca="1" t="shared" si="132"/>
        <v>0.308019304714511</v>
      </c>
      <c r="F357" s="269">
        <f ca="1" t="shared" si="148"/>
        <v>406.638112151267</v>
      </c>
      <c r="G357" s="283">
        <f ca="1" t="shared" si="149"/>
        <v>125.252388575255</v>
      </c>
      <c r="H357" s="279">
        <f ca="1" t="shared" si="150"/>
        <v>0.193879683211819</v>
      </c>
      <c r="I357" s="269">
        <f ca="1">SUM($J$125:J357)/SUM($H$125:H357)</f>
        <v>0.57038553490817</v>
      </c>
      <c r="J357" s="284">
        <f t="shared" si="156"/>
        <v>0.0943501724509019</v>
      </c>
      <c r="K357" s="19">
        <f t="shared" si="158"/>
        <v>24300</v>
      </c>
      <c r="L357" s="269">
        <f t="shared" si="151"/>
        <v>2.21499999999998</v>
      </c>
      <c r="M357" s="226">
        <f ca="1" t="shared" si="152"/>
        <v>39.3359999999999</v>
      </c>
      <c r="N357" s="280">
        <f ca="1" t="shared" si="157"/>
        <v>0.0995295107609167</v>
      </c>
      <c r="O357" s="226">
        <f t="shared" si="161"/>
        <v>13.2</v>
      </c>
      <c r="P357" s="19">
        <f ca="1" t="shared" si="126"/>
        <v>20.8</v>
      </c>
      <c r="Q357" s="226">
        <f ca="1" t="shared" si="160"/>
        <v>2.98</v>
      </c>
      <c r="R357" s="269">
        <f ca="1" t="shared" si="133"/>
        <v>0.606535961505589</v>
      </c>
      <c r="S357" s="266">
        <f ca="1" t="shared" si="134"/>
        <v>56.9809509845286</v>
      </c>
      <c r="T357" s="226">
        <f ca="1">(1+OFFSET('玩法产出(新)'!$C$18,MATCH(X357,'玩法产出(新)'!$B$19:$B$25,0),1)*(1-V357)+OFFSET('玩法产出(新)'!$C$18,1+MATCH(X357,'玩法产出(新)'!$B$19:$B$25,0),1)*(V357))^AA357*(1+OFFSET('玩法产出(新)'!$C$18,MATCH(X357,'玩法产出(新)'!$B$19:$B$25,0),3)*(1-V357)+OFFSET('玩法产出(新)'!$C$18,1+MATCH(X357,'玩法产出(新)'!$B$19:$B$25,0),3)*(V357))^AB357*(1+OFFSET('玩法产出(新)'!$C$18,MATCH(X357,'玩法产出(新)'!$B$19:$B$25,0),4)*(1-V357)+OFFSET('玩法产出(新)'!$C$18,1+MATCH(X357,'玩法产出(新)'!$B$19:$B$25,0),4)*(V357))^AC357*(1+OFFSET('玩法产出(新)'!$C$18,MATCH(X357,'玩法产出(新)'!$B$19:$B$25,0),5)*(1+V357)+OFFSET('玩法产出(新)'!$C$18,1+MATCH(X357,'玩法产出(新)'!$B$19:$B$25,5),1)*(V357))^AD357*(1+OFFSET('玩法产出(新)'!$C$18,MATCH(X357,'玩法产出(新)'!$B$19:$B$25,0),6)*(1+V357)+OFFSET('玩法产出(新)'!$C$18,1+MATCH(X357,'玩法产出(新)'!$B$19:$B$25,0),6)*(V357))^AE357</f>
        <v>47.2406207866543</v>
      </c>
      <c r="U357" s="226">
        <f ca="1" t="shared" si="153"/>
        <v>0.114139621502693</v>
      </c>
      <c r="V357" s="226">
        <f ca="1">COUNTIF($X$124:$X357,X357)/(COUNTIF($X$124:$X$723,X357)+1)</f>
        <v>0.243298969072165</v>
      </c>
      <c r="W357" s="19">
        <v>30</v>
      </c>
      <c r="X357" s="19" t="s">
        <v>326</v>
      </c>
      <c r="Y357" s="19">
        <f t="shared" si="159"/>
        <v>24560</v>
      </c>
      <c r="Z357" s="19">
        <f ca="1" t="shared" si="135"/>
        <v>0.920823457731959</v>
      </c>
      <c r="AA357" s="282">
        <f ca="1" t="shared" si="136"/>
        <v>5.4251625</v>
      </c>
      <c r="AB357" s="282">
        <f ca="1" t="shared" si="137"/>
        <v>18</v>
      </c>
      <c r="AC357" s="282">
        <f ca="1" t="shared" si="138"/>
        <v>5.0094</v>
      </c>
      <c r="AD357" s="282">
        <f ca="1" t="shared" si="139"/>
        <v>1.25235</v>
      </c>
      <c r="AE357" s="282">
        <f ca="1" t="shared" si="140"/>
        <v>0.3130875</v>
      </c>
      <c r="AF357" s="19" t="str">
        <f t="shared" si="141"/>
        <v>粉2</v>
      </c>
      <c r="AG357" s="19">
        <f>IFERROR(_xlfn.XLOOKUP(C357+1,[2]基因升级!$E$141:$E$500,[2]基因升级!$D$141:$D$500)-1,AG356)</f>
        <v>93</v>
      </c>
      <c r="AH357" s="19">
        <v>7</v>
      </c>
      <c r="AI357" s="19">
        <f t="shared" si="142"/>
        <v>9.2039189417803</v>
      </c>
      <c r="AJ357" s="19">
        <f t="shared" si="154"/>
        <v>0</v>
      </c>
      <c r="AK357" s="269">
        <v>1.864</v>
      </c>
      <c r="AL357" s="287">
        <f t="shared" si="162"/>
        <v>10.9999999999999</v>
      </c>
      <c r="AM357" s="287">
        <f t="shared" si="163"/>
        <v>7.4</v>
      </c>
      <c r="AN357" s="293"/>
      <c r="AQ357" s="19">
        <f t="shared" si="143"/>
        <v>2.10485195229983</v>
      </c>
      <c r="AR357" s="19">
        <f t="shared" si="144"/>
        <v>1.64983288127348</v>
      </c>
      <c r="AS357" s="19">
        <f t="shared" si="145"/>
        <v>1</v>
      </c>
      <c r="AT357" s="19">
        <f t="shared" si="146"/>
        <v>1</v>
      </c>
      <c r="AU357" s="19">
        <f t="shared" si="147"/>
        <v>1</v>
      </c>
      <c r="AV357" s="232">
        <f t="shared" si="127"/>
        <v>0.0399999999999991</v>
      </c>
      <c r="AW357" s="232">
        <f t="shared" si="128"/>
        <v>0.04</v>
      </c>
      <c r="AX357" s="232">
        <f t="shared" si="129"/>
        <v>0</v>
      </c>
      <c r="AY357" s="232">
        <f t="shared" si="130"/>
        <v>0</v>
      </c>
      <c r="AZ357" s="232">
        <f t="shared" si="131"/>
        <v>0</v>
      </c>
    </row>
    <row r="358" spans="1:52">
      <c r="A358" s="269"/>
      <c r="C358" s="19">
        <v>235</v>
      </c>
      <c r="D358" s="86">
        <f ca="1" t="shared" si="155"/>
        <v>185.723768124998</v>
      </c>
      <c r="E358" s="251">
        <f ca="1" t="shared" si="132"/>
        <v>0.30717620983443</v>
      </c>
      <c r="F358" s="269">
        <f ca="1" t="shared" si="148"/>
        <v>408.382136607472</v>
      </c>
      <c r="G358" s="283">
        <f ca="1" t="shared" si="149"/>
        <v>125.445276887169</v>
      </c>
      <c r="H358" s="279">
        <f ca="1" t="shared" si="150"/>
        <v>0.192888311914629</v>
      </c>
      <c r="I358" s="269">
        <f ca="1">SUM($J$125:J358)/SUM($H$125:H358)</f>
        <v>0.570246974474782</v>
      </c>
      <c r="J358" s="284">
        <f t="shared" si="156"/>
        <v>0.0940245553708365</v>
      </c>
      <c r="K358" s="19">
        <f t="shared" si="158"/>
        <v>24400</v>
      </c>
      <c r="L358" s="269">
        <f t="shared" si="151"/>
        <v>2.21999999999998</v>
      </c>
      <c r="M358" s="226">
        <f ca="1" t="shared" si="152"/>
        <v>39.6</v>
      </c>
      <c r="N358" s="280">
        <f ca="1" t="shared" si="157"/>
        <v>0.0988637565437855</v>
      </c>
      <c r="O358" s="226">
        <f t="shared" si="161"/>
        <v>13.2</v>
      </c>
      <c r="P358" s="19">
        <f ca="1" t="shared" si="126"/>
        <v>21</v>
      </c>
      <c r="Q358" s="226">
        <f ca="1" t="shared" si="160"/>
        <v>3</v>
      </c>
      <c r="R358" s="269">
        <f ca="1" t="shared" si="133"/>
        <v>0.607752503505249</v>
      </c>
      <c r="S358" s="266">
        <f ca="1" t="shared" si="134"/>
        <v>57.0952388824484</v>
      </c>
      <c r="T358" s="226">
        <f ca="1">(1+OFFSET('玩法产出(新)'!$C$18,MATCH(X358,'玩法产出(新)'!$B$19:$B$25,0),1)*(1-V358)+OFFSET('玩法产出(新)'!$C$18,1+MATCH(X358,'玩法产出(新)'!$B$19:$B$25,0),1)*(V358))^AA358*(1+OFFSET('玩法产出(新)'!$C$18,MATCH(X358,'玩法产出(新)'!$B$19:$B$25,0),3)*(1-V358)+OFFSET('玩法产出(新)'!$C$18,1+MATCH(X358,'玩法产出(新)'!$B$19:$B$25,0),3)*(V358))^AB358*(1+OFFSET('玩法产出(新)'!$C$18,MATCH(X358,'玩法产出(新)'!$B$19:$B$25,0),4)*(1-V358)+OFFSET('玩法产出(新)'!$C$18,1+MATCH(X358,'玩法产出(新)'!$B$19:$B$25,0),4)*(V358))^AC358*(1+OFFSET('玩法产出(新)'!$C$18,MATCH(X358,'玩法产出(新)'!$B$19:$B$25,0),5)*(1+V358)+OFFSET('玩法产出(新)'!$C$18,1+MATCH(X358,'玩法产出(新)'!$B$19:$B$25,5),1)*(V358))^AD358*(1+OFFSET('玩法产出(新)'!$C$18,MATCH(X358,'玩法产出(新)'!$B$19:$B$25,0),6)*(1+V358)+OFFSET('玩法产出(新)'!$C$18,1+MATCH(X358,'玩法产出(新)'!$B$19:$B$25,0),6)*(V358))^AE358</f>
        <v>47.6073279099212</v>
      </c>
      <c r="U358" s="226">
        <f ca="1" t="shared" si="153"/>
        <v>0.114287897919808</v>
      </c>
      <c r="V358" s="226">
        <f ca="1">COUNTIF($X$124:$X358,X358)/(COUNTIF($X$124:$X$723,X358)+1)</f>
        <v>0.245360824742268</v>
      </c>
      <c r="W358" s="19">
        <v>30</v>
      </c>
      <c r="X358" s="19" t="s">
        <v>326</v>
      </c>
      <c r="Y358" s="19">
        <f t="shared" si="159"/>
        <v>24660</v>
      </c>
      <c r="Z358" s="19">
        <f ca="1" t="shared" si="135"/>
        <v>0.91662381572165</v>
      </c>
      <c r="AA358" s="282">
        <f ca="1" t="shared" si="136"/>
        <v>5.397796875</v>
      </c>
      <c r="AB358" s="282">
        <f ca="1" t="shared" si="137"/>
        <v>18</v>
      </c>
      <c r="AC358" s="282">
        <f ca="1" t="shared" si="138"/>
        <v>5.03025</v>
      </c>
      <c r="AD358" s="282">
        <f ca="1" t="shared" si="139"/>
        <v>1.2575625</v>
      </c>
      <c r="AE358" s="282">
        <f ca="1" t="shared" si="140"/>
        <v>0.314390625</v>
      </c>
      <c r="AF358" s="19" t="str">
        <f t="shared" si="141"/>
        <v>粉2</v>
      </c>
      <c r="AG358" s="19">
        <f>IFERROR(_xlfn.XLOOKUP(C358+1,[2]基因升级!$E$141:$E$500,[2]基因升级!$D$141:$D$500)-1,AG357)</f>
        <v>93</v>
      </c>
      <c r="AH358" s="19">
        <v>7</v>
      </c>
      <c r="AI358" s="19">
        <f t="shared" si="142"/>
        <v>9.2039189417803</v>
      </c>
      <c r="AJ358" s="19">
        <f t="shared" si="154"/>
        <v>0</v>
      </c>
      <c r="AK358" s="269">
        <v>1.864</v>
      </c>
      <c r="AL358" s="287">
        <f t="shared" si="162"/>
        <v>11.0399999999999</v>
      </c>
      <c r="AM358" s="287">
        <f t="shared" si="163"/>
        <v>7.44</v>
      </c>
      <c r="AN358" s="293"/>
      <c r="AQ358" s="19">
        <f t="shared" si="143"/>
        <v>2.11055612508386</v>
      </c>
      <c r="AR358" s="19">
        <f t="shared" si="144"/>
        <v>1.65430394718825</v>
      </c>
      <c r="AS358" s="19">
        <f t="shared" si="145"/>
        <v>1</v>
      </c>
      <c r="AT358" s="19">
        <f t="shared" si="146"/>
        <v>1</v>
      </c>
      <c r="AU358" s="19">
        <f t="shared" si="147"/>
        <v>1</v>
      </c>
      <c r="AV358" s="232">
        <f t="shared" si="127"/>
        <v>0.0399999999999991</v>
      </c>
      <c r="AW358" s="232">
        <f t="shared" si="128"/>
        <v>0.04</v>
      </c>
      <c r="AX358" s="232">
        <f t="shared" si="129"/>
        <v>0</v>
      </c>
      <c r="AY358" s="232">
        <f t="shared" si="130"/>
        <v>0</v>
      </c>
      <c r="AZ358" s="232">
        <f t="shared" si="131"/>
        <v>0</v>
      </c>
    </row>
    <row r="359" spans="1:52">
      <c r="A359" s="269"/>
      <c r="C359" s="19">
        <v>236</v>
      </c>
      <c r="D359" s="86">
        <f ca="1" t="shared" si="155"/>
        <v>186.030112381025</v>
      </c>
      <c r="E359" s="251">
        <f ca="1" t="shared" si="132"/>
        <v>0.306344256026948</v>
      </c>
      <c r="F359" s="269">
        <f ca="1" t="shared" si="148"/>
        <v>410.117645719518</v>
      </c>
      <c r="G359" s="283">
        <f ca="1" t="shared" si="149"/>
        <v>125.637185061469</v>
      </c>
      <c r="H359" s="279">
        <f ca="1" t="shared" si="150"/>
        <v>0.191908174299911</v>
      </c>
      <c r="I359" s="269">
        <f ca="1">SUM($J$125:J359)/SUM($H$125:H359)</f>
        <v>0.570110913301031</v>
      </c>
      <c r="J359" s="284">
        <f t="shared" si="156"/>
        <v>0.0937013246428364</v>
      </c>
      <c r="K359" s="19">
        <f t="shared" si="158"/>
        <v>24500</v>
      </c>
      <c r="L359" s="269">
        <f t="shared" si="151"/>
        <v>2.22499999999998</v>
      </c>
      <c r="M359" s="226">
        <f ca="1" t="shared" si="152"/>
        <v>39.8639999999999</v>
      </c>
      <c r="N359" s="280">
        <f ca="1" t="shared" si="157"/>
        <v>0.0982068496570676</v>
      </c>
      <c r="O359" s="226">
        <f t="shared" si="161"/>
        <v>13.2</v>
      </c>
      <c r="P359" s="19">
        <f ca="1" t="shared" si="126"/>
        <v>21.2</v>
      </c>
      <c r="Q359" s="226">
        <f ca="1" t="shared" si="160"/>
        <v>3.02</v>
      </c>
      <c r="R359" s="269">
        <f ca="1" t="shared" si="133"/>
        <v>0.608970622853241</v>
      </c>
      <c r="S359" s="266">
        <f ca="1" t="shared" si="134"/>
        <v>57.2096749641755</v>
      </c>
      <c r="T359" s="226">
        <f ca="1">(1+OFFSET('玩法产出(新)'!$C$18,MATCH(X359,'玩法产出(新)'!$B$19:$B$25,0),1)*(1-V359)+OFFSET('玩法产出(新)'!$C$18,1+MATCH(X359,'玩法产出(新)'!$B$19:$B$25,0),1)*(V359))^AA359*(1+OFFSET('玩法产出(新)'!$C$18,MATCH(X359,'玩法产出(新)'!$B$19:$B$25,0),3)*(1-V359)+OFFSET('玩法产出(新)'!$C$18,1+MATCH(X359,'玩法产出(新)'!$B$19:$B$25,0),3)*(V359))^AB359*(1+OFFSET('玩法产出(新)'!$C$18,MATCH(X359,'玩法产出(新)'!$B$19:$B$25,0),4)*(1-V359)+OFFSET('玩法产出(新)'!$C$18,1+MATCH(X359,'玩法产出(新)'!$B$19:$B$25,0),4)*(V359))^AC359*(1+OFFSET('玩法产出(新)'!$C$18,MATCH(X359,'玩法产出(新)'!$B$19:$B$25,0),5)*(1+V359)+OFFSET('玩法产出(新)'!$C$18,1+MATCH(X359,'玩法产出(新)'!$B$19:$B$25,5),1)*(V359))^AD359*(1+OFFSET('玩法产出(新)'!$C$18,MATCH(X359,'玩法产出(新)'!$B$19:$B$25,0),6)*(1+V359)+OFFSET('玩法产出(新)'!$C$18,1+MATCH(X359,'玩法产出(新)'!$B$19:$B$25,0),6)*(V359))^AE359</f>
        <v>47.9773626258415</v>
      </c>
      <c r="U359" s="226">
        <f ca="1" t="shared" si="153"/>
        <v>0.114436081727044</v>
      </c>
      <c r="V359" s="226">
        <f ca="1">COUNTIF($X$124:$X359,X359)/(COUNTIF($X$124:$X$723,X359)+1)</f>
        <v>0.247422680412371</v>
      </c>
      <c r="W359" s="19">
        <v>30</v>
      </c>
      <c r="X359" s="19" t="s">
        <v>326</v>
      </c>
      <c r="Y359" s="19">
        <f t="shared" si="159"/>
        <v>24760</v>
      </c>
      <c r="Z359" s="19">
        <f ca="1" t="shared" si="135"/>
        <v>0.912419659793814</v>
      </c>
      <c r="AA359" s="282">
        <f ca="1" t="shared" si="136"/>
        <v>5.37043125</v>
      </c>
      <c r="AB359" s="282">
        <f ca="1" t="shared" si="137"/>
        <v>18</v>
      </c>
      <c r="AC359" s="282">
        <f ca="1" t="shared" si="138"/>
        <v>5.0511</v>
      </c>
      <c r="AD359" s="282">
        <f ca="1" t="shared" si="139"/>
        <v>1.262775</v>
      </c>
      <c r="AE359" s="282">
        <f ca="1" t="shared" si="140"/>
        <v>0.31569375</v>
      </c>
      <c r="AF359" s="19" t="str">
        <f t="shared" si="141"/>
        <v>粉2</v>
      </c>
      <c r="AG359" s="19">
        <f>IFERROR(_xlfn.XLOOKUP(C359+1,[2]基因升级!$E$141:$E$500,[2]基因升级!$D$141:$D$500)-1,AG358)</f>
        <v>93</v>
      </c>
      <c r="AH359" s="19">
        <v>7</v>
      </c>
      <c r="AI359" s="19">
        <f t="shared" si="142"/>
        <v>9.2039189417803</v>
      </c>
      <c r="AJ359" s="19">
        <f t="shared" si="154"/>
        <v>0</v>
      </c>
      <c r="AK359" s="269">
        <v>1.864</v>
      </c>
      <c r="AL359" s="287">
        <f t="shared" si="162"/>
        <v>11.0799999999999</v>
      </c>
      <c r="AM359" s="287">
        <f t="shared" si="163"/>
        <v>7.48</v>
      </c>
      <c r="AN359" s="293"/>
      <c r="AQ359" s="19">
        <f t="shared" si="143"/>
        <v>2.11627575624116</v>
      </c>
      <c r="AR359" s="19">
        <f t="shared" si="144"/>
        <v>1.65878712974261</v>
      </c>
      <c r="AS359" s="19">
        <f t="shared" si="145"/>
        <v>1</v>
      </c>
      <c r="AT359" s="19">
        <f t="shared" si="146"/>
        <v>1</v>
      </c>
      <c r="AU359" s="19">
        <f t="shared" si="147"/>
        <v>1</v>
      </c>
      <c r="AV359" s="232">
        <f t="shared" si="127"/>
        <v>0.0399999999999991</v>
      </c>
      <c r="AW359" s="232">
        <f t="shared" si="128"/>
        <v>0.04</v>
      </c>
      <c r="AX359" s="232">
        <f t="shared" si="129"/>
        <v>0</v>
      </c>
      <c r="AY359" s="232">
        <f t="shared" si="130"/>
        <v>0</v>
      </c>
      <c r="AZ359" s="232">
        <f t="shared" si="131"/>
        <v>0</v>
      </c>
    </row>
    <row r="360" spans="1:52">
      <c r="A360" s="269"/>
      <c r="C360" s="19">
        <v>237</v>
      </c>
      <c r="D360" s="86">
        <f ca="1" t="shared" si="155"/>
        <v>186.335635621945</v>
      </c>
      <c r="E360" s="251">
        <f ca="1" t="shared" si="132"/>
        <v>0.30552324091925</v>
      </c>
      <c r="F360" s="269">
        <f ca="1" t="shared" si="148"/>
        <v>411.844688969484</v>
      </c>
      <c r="G360" s="283">
        <f ca="1" t="shared" si="149"/>
        <v>125.828124129337</v>
      </c>
      <c r="H360" s="279">
        <f ca="1" t="shared" si="150"/>
        <v>0.190939067868115</v>
      </c>
      <c r="I360" s="269">
        <f ca="1">SUM($J$125:J360)/SUM($H$125:H360)</f>
        <v>0.569977301593867</v>
      </c>
      <c r="J360" s="284">
        <f t="shared" si="156"/>
        <v>0.093380452964638</v>
      </c>
      <c r="K360" s="19">
        <f t="shared" si="158"/>
        <v>24600</v>
      </c>
      <c r="L360" s="269">
        <f t="shared" si="151"/>
        <v>2.22999999999997</v>
      </c>
      <c r="M360" s="226">
        <f ca="1" t="shared" si="152"/>
        <v>40.1279999999999</v>
      </c>
      <c r="N360" s="280">
        <f ca="1" t="shared" si="157"/>
        <v>0.0975586149035621</v>
      </c>
      <c r="O360" s="226">
        <f t="shared" si="161"/>
        <v>13.2</v>
      </c>
      <c r="P360" s="19">
        <f ca="1" t="shared" si="126"/>
        <v>21.4</v>
      </c>
      <c r="Q360" s="226">
        <f ca="1" t="shared" si="160"/>
        <v>3.04</v>
      </c>
      <c r="R360" s="269">
        <f ca="1" t="shared" si="133"/>
        <v>0.610190318565124</v>
      </c>
      <c r="S360" s="266">
        <f ca="1" t="shared" si="134"/>
        <v>57.3242591372265</v>
      </c>
      <c r="T360" s="226">
        <f ca="1">(1+OFFSET('玩法产出(新)'!$C$18,MATCH(X360,'玩法产出(新)'!$B$19:$B$25,0),1)*(1-V360)+OFFSET('玩法产出(新)'!$C$18,1+MATCH(X360,'玩法产出(新)'!$B$19:$B$25,0),1)*(V360))^AA360*(1+OFFSET('玩法产出(新)'!$C$18,MATCH(X360,'玩法产出(新)'!$B$19:$B$25,0),3)*(1-V360)+OFFSET('玩法产出(新)'!$C$18,1+MATCH(X360,'玩法产出(新)'!$B$19:$B$25,0),3)*(V360))^AB360*(1+OFFSET('玩法产出(新)'!$C$18,MATCH(X360,'玩法产出(新)'!$B$19:$B$25,0),4)*(1-V360)+OFFSET('玩法产出(新)'!$C$18,1+MATCH(X360,'玩法产出(新)'!$B$19:$B$25,0),4)*(V360))^AC360*(1+OFFSET('玩法产出(新)'!$C$18,MATCH(X360,'玩法产出(新)'!$B$19:$B$25,0),5)*(1+V360)+OFFSET('玩法产出(新)'!$C$18,1+MATCH(X360,'玩法产出(新)'!$B$19:$B$25,5),1)*(V360))^AD360*(1+OFFSET('玩法产出(新)'!$C$18,MATCH(X360,'玩法产出(新)'!$B$19:$B$25,0),6)*(1+V360)+OFFSET('玩法产出(新)'!$C$18,1+MATCH(X360,'玩法产出(新)'!$B$19:$B$25,0),6)*(V360))^AE360</f>
        <v>48.3507579448041</v>
      </c>
      <c r="U360" s="226">
        <f ca="1" t="shared" si="153"/>
        <v>0.11458417305105</v>
      </c>
      <c r="V360" s="226">
        <f ca="1">COUNTIF($X$124:$X360,X360)/(COUNTIF($X$124:$X$723,X360)+1)</f>
        <v>0.249484536082474</v>
      </c>
      <c r="W360" s="19">
        <v>30</v>
      </c>
      <c r="X360" s="19" t="s">
        <v>326</v>
      </c>
      <c r="Y360" s="19">
        <f t="shared" si="159"/>
        <v>24860</v>
      </c>
      <c r="Z360" s="19">
        <f ca="1" t="shared" si="135"/>
        <v>0.908210989948453</v>
      </c>
      <c r="AA360" s="282">
        <f ca="1" t="shared" si="136"/>
        <v>5.343065625</v>
      </c>
      <c r="AB360" s="282">
        <f ca="1" t="shared" si="137"/>
        <v>18</v>
      </c>
      <c r="AC360" s="282">
        <f ca="1" t="shared" si="138"/>
        <v>5.07195</v>
      </c>
      <c r="AD360" s="282">
        <f ca="1" t="shared" si="139"/>
        <v>1.2679875</v>
      </c>
      <c r="AE360" s="282">
        <f ca="1" t="shared" si="140"/>
        <v>0.316996875</v>
      </c>
      <c r="AF360" s="19" t="str">
        <f t="shared" si="141"/>
        <v>粉2</v>
      </c>
      <c r="AG360" s="19">
        <f>IFERROR(_xlfn.XLOOKUP(C360+1,[2]基因升级!$E$141:$E$500,[2]基因升级!$D$141:$D$500)-1,AG359)</f>
        <v>93</v>
      </c>
      <c r="AH360" s="19">
        <v>7</v>
      </c>
      <c r="AI360" s="19">
        <f t="shared" si="142"/>
        <v>9.2039189417803</v>
      </c>
      <c r="AJ360" s="19">
        <f t="shared" si="154"/>
        <v>0</v>
      </c>
      <c r="AK360" s="269">
        <v>1.864</v>
      </c>
      <c r="AL360" s="287">
        <f t="shared" si="162"/>
        <v>11.1199999999999</v>
      </c>
      <c r="AM360" s="287">
        <f t="shared" si="163"/>
        <v>7.52</v>
      </c>
      <c r="AN360" s="293"/>
      <c r="AQ360" s="19">
        <f t="shared" si="143"/>
        <v>2.1220108876641</v>
      </c>
      <c r="AR360" s="19">
        <f t="shared" si="144"/>
        <v>1.6632824617728</v>
      </c>
      <c r="AS360" s="19">
        <f t="shared" si="145"/>
        <v>1</v>
      </c>
      <c r="AT360" s="19">
        <f t="shared" si="146"/>
        <v>1</v>
      </c>
      <c r="AU360" s="19">
        <f t="shared" si="147"/>
        <v>1</v>
      </c>
      <c r="AV360" s="232">
        <f t="shared" si="127"/>
        <v>0.0399999999999991</v>
      </c>
      <c r="AW360" s="232">
        <f t="shared" si="128"/>
        <v>0.04</v>
      </c>
      <c r="AX360" s="232">
        <f t="shared" si="129"/>
        <v>0</v>
      </c>
      <c r="AY360" s="232">
        <f t="shared" si="130"/>
        <v>0</v>
      </c>
      <c r="AZ360" s="232">
        <f t="shared" si="131"/>
        <v>0</v>
      </c>
    </row>
    <row r="361" spans="1:52">
      <c r="A361" s="269"/>
      <c r="C361" s="19">
        <v>238</v>
      </c>
      <c r="D361" s="86">
        <f ca="1" t="shared" si="155"/>
        <v>186.640348589105</v>
      </c>
      <c r="E361" s="251">
        <f ca="1" t="shared" si="132"/>
        <v>0.304712967160565</v>
      </c>
      <c r="F361" s="269">
        <f ca="1" t="shared" si="148"/>
        <v>413.56331533497</v>
      </c>
      <c r="G361" s="283">
        <f ca="1" t="shared" si="149"/>
        <v>126.018104924479</v>
      </c>
      <c r="H361" s="279">
        <f ca="1" t="shared" si="150"/>
        <v>0.189980795141864</v>
      </c>
      <c r="I361" s="269">
        <f ca="1">SUM($J$125:J361)/SUM($H$125:H361)</f>
        <v>0.569846090801215</v>
      </c>
      <c r="J361" s="284">
        <f t="shared" si="156"/>
        <v>0.0930619134604171</v>
      </c>
      <c r="K361" s="19">
        <f t="shared" si="158"/>
        <v>24700</v>
      </c>
      <c r="L361" s="269">
        <f t="shared" si="151"/>
        <v>2.23499999999997</v>
      </c>
      <c r="M361" s="226">
        <f ca="1" t="shared" si="152"/>
        <v>40.3919999999999</v>
      </c>
      <c r="N361" s="280">
        <f ca="1" t="shared" si="157"/>
        <v>0.0969188816814253</v>
      </c>
      <c r="O361" s="226">
        <f t="shared" si="161"/>
        <v>13.2</v>
      </c>
      <c r="P361" s="19">
        <f ca="1" t="shared" si="126"/>
        <v>21.6</v>
      </c>
      <c r="Q361" s="226">
        <f ca="1" t="shared" si="160"/>
        <v>3.06</v>
      </c>
      <c r="R361" s="269">
        <f ca="1" t="shared" si="133"/>
        <v>0.611411589657807</v>
      </c>
      <c r="S361" s="266">
        <f ca="1" t="shared" si="134"/>
        <v>57.4389913092453</v>
      </c>
      <c r="T361" s="226">
        <f ca="1">(1+OFFSET('玩法产出(新)'!$C$18,MATCH(X361,'玩法产出(新)'!$B$19:$B$25,0),1)*(1-V361)+OFFSET('玩法产出(新)'!$C$18,1+MATCH(X361,'玩法产出(新)'!$B$19:$B$25,0),1)*(V361))^AA361*(1+OFFSET('玩法产出(新)'!$C$18,MATCH(X361,'玩法产出(新)'!$B$19:$B$25,0),3)*(1-V361)+OFFSET('玩法产出(新)'!$C$18,1+MATCH(X361,'玩法产出(新)'!$B$19:$B$25,0),3)*(V361))^AB361*(1+OFFSET('玩法产出(新)'!$C$18,MATCH(X361,'玩法产出(新)'!$B$19:$B$25,0),4)*(1-V361)+OFFSET('玩法产出(新)'!$C$18,1+MATCH(X361,'玩法产出(新)'!$B$19:$B$25,0),4)*(V361))^AC361*(1+OFFSET('玩法产出(新)'!$C$18,MATCH(X361,'玩法产出(新)'!$B$19:$B$25,0),5)*(1+V361)+OFFSET('玩法产出(新)'!$C$18,1+MATCH(X361,'玩法产出(新)'!$B$19:$B$25,5),1)*(V361))^AD361*(1+OFFSET('玩法产出(新)'!$C$18,MATCH(X361,'玩法产出(新)'!$B$19:$B$25,0),6)*(1+V361)+OFFSET('玩法产出(新)'!$C$18,1+MATCH(X361,'玩法产出(新)'!$B$19:$B$25,0),6)*(V361))^AE361</f>
        <v>48.727547228766</v>
      </c>
      <c r="U361" s="226">
        <f ca="1" t="shared" si="153"/>
        <v>0.114732172018723</v>
      </c>
      <c r="V361" s="226">
        <f ca="1">COUNTIF($X$124:$X361,X361)/(COUNTIF($X$124:$X$723,X361)+1)</f>
        <v>0.251546391752577</v>
      </c>
      <c r="W361" s="19">
        <v>30</v>
      </c>
      <c r="X361" s="19" t="s">
        <v>326</v>
      </c>
      <c r="Y361" s="19">
        <f t="shared" si="159"/>
        <v>24960</v>
      </c>
      <c r="Z361" s="19">
        <f ca="1" t="shared" si="135"/>
        <v>0.903997806185567</v>
      </c>
      <c r="AA361" s="282">
        <f ca="1" t="shared" si="136"/>
        <v>5.3157</v>
      </c>
      <c r="AB361" s="282">
        <f ca="1" t="shared" si="137"/>
        <v>18</v>
      </c>
      <c r="AC361" s="282">
        <f ca="1" t="shared" si="138"/>
        <v>5.0928</v>
      </c>
      <c r="AD361" s="282">
        <f ca="1" t="shared" si="139"/>
        <v>1.2732</v>
      </c>
      <c r="AE361" s="282">
        <f ca="1" t="shared" si="140"/>
        <v>0.3183</v>
      </c>
      <c r="AF361" s="19" t="str">
        <f t="shared" si="141"/>
        <v>粉2</v>
      </c>
      <c r="AG361" s="19">
        <f>IFERROR(_xlfn.XLOOKUP(C361+1,[2]基因升级!$E$141:$E$500,[2]基因升级!$D$141:$D$500)-1,AG360)</f>
        <v>93</v>
      </c>
      <c r="AH361" s="19">
        <v>7</v>
      </c>
      <c r="AI361" s="19">
        <f t="shared" si="142"/>
        <v>9.2039189417803</v>
      </c>
      <c r="AJ361" s="19">
        <f t="shared" si="154"/>
        <v>0</v>
      </c>
      <c r="AK361" s="269">
        <v>1.864</v>
      </c>
      <c r="AL361" s="287">
        <f t="shared" si="162"/>
        <v>11.1599999999999</v>
      </c>
      <c r="AM361" s="287">
        <f t="shared" si="163"/>
        <v>7.56</v>
      </c>
      <c r="AN361" s="293"/>
      <c r="AQ361" s="19">
        <f t="shared" si="143"/>
        <v>2.12776156135857</v>
      </c>
      <c r="AR361" s="19">
        <f t="shared" si="144"/>
        <v>1.66778997620404</v>
      </c>
      <c r="AS361" s="19">
        <f t="shared" si="145"/>
        <v>1</v>
      </c>
      <c r="AT361" s="19">
        <f t="shared" si="146"/>
        <v>1</v>
      </c>
      <c r="AU361" s="19">
        <f t="shared" si="147"/>
        <v>1</v>
      </c>
      <c r="AV361" s="232">
        <f t="shared" si="127"/>
        <v>0.0399999999999991</v>
      </c>
      <c r="AW361" s="232">
        <f t="shared" si="128"/>
        <v>0.04</v>
      </c>
      <c r="AX361" s="232">
        <f t="shared" si="129"/>
        <v>0</v>
      </c>
      <c r="AY361" s="232">
        <f t="shared" si="130"/>
        <v>0</v>
      </c>
      <c r="AZ361" s="232">
        <f t="shared" si="131"/>
        <v>0</v>
      </c>
    </row>
    <row r="362" spans="1:52">
      <c r="A362" s="269"/>
      <c r="C362" s="19">
        <v>239</v>
      </c>
      <c r="D362" s="86">
        <f ca="1" t="shared" si="155"/>
        <v>186.944261831368</v>
      </c>
      <c r="E362" s="251">
        <f ca="1" t="shared" si="132"/>
        <v>0.303913242262998</v>
      </c>
      <c r="F362" s="269">
        <f ca="1" t="shared" si="148"/>
        <v>415.273573300798</v>
      </c>
      <c r="G362" s="283">
        <f ca="1" t="shared" si="149"/>
        <v>126.207138087986</v>
      </c>
      <c r="H362" s="279">
        <f ca="1" t="shared" si="150"/>
        <v>0.18903316350702</v>
      </c>
      <c r="I362" s="269">
        <f ca="1">SUM($J$125:J362)/SUM($H$125:H362)</f>
        <v>0.56971723357411</v>
      </c>
      <c r="J362" s="284">
        <f t="shared" si="156"/>
        <v>0.0927456796724186</v>
      </c>
      <c r="K362" s="19">
        <f t="shared" si="158"/>
        <v>24800</v>
      </c>
      <c r="L362" s="269">
        <f t="shared" si="151"/>
        <v>2.23999999999997</v>
      </c>
      <c r="M362" s="226">
        <f ca="1" t="shared" si="152"/>
        <v>40.6559999999999</v>
      </c>
      <c r="N362" s="280">
        <f ca="1" t="shared" si="157"/>
        <v>0.0962874838346082</v>
      </c>
      <c r="O362" s="226">
        <f t="shared" si="161"/>
        <v>13.2</v>
      </c>
      <c r="P362" s="19">
        <f ca="1" t="shared" si="126"/>
        <v>21.8</v>
      </c>
      <c r="Q362" s="226">
        <f ca="1" t="shared" si="160"/>
        <v>3.08</v>
      </c>
      <c r="R362" s="269">
        <f ca="1" t="shared" si="133"/>
        <v>0.61263443514954</v>
      </c>
      <c r="S362" s="266">
        <f ca="1" t="shared" si="134"/>
        <v>57.5538713880012</v>
      </c>
      <c r="T362" s="226">
        <f ca="1">(1+OFFSET('玩法产出(新)'!$C$18,MATCH(X362,'玩法产出(新)'!$B$19:$B$25,0),1)*(1-V362)+OFFSET('玩法产出(新)'!$C$18,1+MATCH(X362,'玩法产出(新)'!$B$19:$B$25,0),1)*(V362))^AA362*(1+OFFSET('玩法产出(新)'!$C$18,MATCH(X362,'玩法产出(新)'!$B$19:$B$25,0),3)*(1-V362)+OFFSET('玩法产出(新)'!$C$18,1+MATCH(X362,'玩法产出(新)'!$B$19:$B$25,0),3)*(V362))^AB362*(1+OFFSET('玩法产出(新)'!$C$18,MATCH(X362,'玩法产出(新)'!$B$19:$B$25,0),4)*(1-V362)+OFFSET('玩法产出(新)'!$C$18,1+MATCH(X362,'玩法产出(新)'!$B$19:$B$25,0),4)*(V362))^AC362*(1+OFFSET('玩法产出(新)'!$C$18,MATCH(X362,'玩法产出(新)'!$B$19:$B$25,0),5)*(1+V362)+OFFSET('玩法产出(新)'!$C$18,1+MATCH(X362,'玩法产出(新)'!$B$19:$B$25,5),1)*(V362))^AD362*(1+OFFSET('玩法产出(新)'!$C$18,MATCH(X362,'玩法产出(新)'!$B$19:$B$25,0),6)*(1+V362)+OFFSET('玩法产出(新)'!$C$18,1+MATCH(X362,'玩法产出(新)'!$B$19:$B$25,0),6)*(V362))^AE362</f>
        <v>49.1077641952122</v>
      </c>
      <c r="U362" s="226">
        <f ca="1" t="shared" si="153"/>
        <v>0.114880078755971</v>
      </c>
      <c r="V362" s="226">
        <f ca="1">COUNTIF($X$124:$X362,X362)/(COUNTIF($X$124:$X$723,X362)+1)</f>
        <v>0.25360824742268</v>
      </c>
      <c r="W362" s="19">
        <v>30</v>
      </c>
      <c r="X362" s="19" t="s">
        <v>326</v>
      </c>
      <c r="Y362" s="19">
        <f t="shared" si="159"/>
        <v>25060</v>
      </c>
      <c r="Z362" s="19">
        <f ca="1" t="shared" si="135"/>
        <v>0.899780108505154</v>
      </c>
      <c r="AA362" s="282">
        <f ca="1" t="shared" si="136"/>
        <v>5.288334375</v>
      </c>
      <c r="AB362" s="282">
        <f ca="1" t="shared" si="137"/>
        <v>18</v>
      </c>
      <c r="AC362" s="282">
        <f ca="1" t="shared" si="138"/>
        <v>5.11365</v>
      </c>
      <c r="AD362" s="282">
        <f ca="1" t="shared" si="139"/>
        <v>1.2784125</v>
      </c>
      <c r="AE362" s="282">
        <f ca="1" t="shared" si="140"/>
        <v>0.319603125</v>
      </c>
      <c r="AF362" s="19" t="str">
        <f t="shared" si="141"/>
        <v>粉2</v>
      </c>
      <c r="AG362" s="19">
        <f>IFERROR(_xlfn.XLOOKUP(C362+1,[2]基因升级!$E$141:$E$500,[2]基因升级!$D$141:$D$500)-1,AG361)</f>
        <v>93</v>
      </c>
      <c r="AH362" s="19">
        <v>7</v>
      </c>
      <c r="AI362" s="19">
        <f t="shared" si="142"/>
        <v>9.2039189417803</v>
      </c>
      <c r="AJ362" s="19">
        <f t="shared" si="154"/>
        <v>0</v>
      </c>
      <c r="AK362" s="269">
        <v>1.864</v>
      </c>
      <c r="AL362" s="287">
        <f t="shared" si="162"/>
        <v>11.1999999999999</v>
      </c>
      <c r="AM362" s="287">
        <f t="shared" si="163"/>
        <v>7.6</v>
      </c>
      <c r="AN362" s="293"/>
      <c r="AQ362" s="19">
        <f t="shared" si="143"/>
        <v>2.1335278194443</v>
      </c>
      <c r="AR362" s="19">
        <f t="shared" si="144"/>
        <v>1.67230970605077</v>
      </c>
      <c r="AS362" s="19">
        <f t="shared" si="145"/>
        <v>1</v>
      </c>
      <c r="AT362" s="19">
        <f t="shared" si="146"/>
        <v>1</v>
      </c>
      <c r="AU362" s="19">
        <f t="shared" si="147"/>
        <v>1</v>
      </c>
      <c r="AV362" s="232">
        <f t="shared" si="127"/>
        <v>0.0399999999999991</v>
      </c>
      <c r="AW362" s="232">
        <f t="shared" si="128"/>
        <v>0.04</v>
      </c>
      <c r="AX362" s="232">
        <f t="shared" si="129"/>
        <v>0</v>
      </c>
      <c r="AY362" s="232">
        <f t="shared" si="130"/>
        <v>0</v>
      </c>
      <c r="AZ362" s="232">
        <f t="shared" si="131"/>
        <v>0</v>
      </c>
    </row>
    <row r="363" s="232" customFormat="1" spans="1:52">
      <c r="A363" s="269"/>
      <c r="C363" s="232">
        <v>240</v>
      </c>
      <c r="D363" s="86">
        <f ca="1" t="shared" si="155"/>
        <v>190.256593842612</v>
      </c>
      <c r="E363" s="251">
        <f ca="1" t="shared" si="132"/>
        <v>3.31233201124419</v>
      </c>
      <c r="F363" s="269">
        <f ca="1" t="shared" si="148"/>
        <v>39.0674732383588</v>
      </c>
      <c r="G363" s="286">
        <f ca="1" t="shared" si="149"/>
        <v>129.404442205842</v>
      </c>
      <c r="H363" s="287">
        <f ca="1" t="shared" si="150"/>
        <v>3.1973041178553</v>
      </c>
      <c r="I363" s="285">
        <f ca="1">SUM($J$125:J363)/SUM($H$125:H363)</f>
        <v>0.555235967220667</v>
      </c>
      <c r="J363" s="288">
        <f t="shared" si="156"/>
        <v>0.0924317255526432</v>
      </c>
      <c r="K363" s="232">
        <f t="shared" si="158"/>
        <v>24900</v>
      </c>
      <c r="L363" s="285">
        <f t="shared" si="151"/>
        <v>2.24499999999997</v>
      </c>
      <c r="M363" s="289">
        <f ca="1" t="shared" si="152"/>
        <v>50.16</v>
      </c>
      <c r="N363" s="290">
        <f ca="1" t="shared" si="157"/>
        <v>3.10487239230266</v>
      </c>
      <c r="O363" s="289">
        <f t="shared" si="161"/>
        <v>26.4</v>
      </c>
      <c r="P363" s="232">
        <f ca="1" t="shared" si="126"/>
        <v>10</v>
      </c>
      <c r="Q363" s="289">
        <f ca="1" t="shared" si="160"/>
        <v>1.9</v>
      </c>
      <c r="R363" s="285">
        <f ca="1" t="shared" si="133"/>
        <v>0.613858854059915</v>
      </c>
      <c r="S363" s="292">
        <f ca="1" t="shared" si="134"/>
        <v>57.6688992813901</v>
      </c>
      <c r="T363" s="226">
        <f ca="1">(1+OFFSET('玩法产出(新)'!$C$18,MATCH(X363,'玩法产出(新)'!$B$19:$B$25,0),1)*(1-V363)+OFFSET('玩法产出(新)'!$C$18,1+MATCH(X363,'玩法产出(新)'!$B$19:$B$25,0),1)*(V363))^AA363*(1+OFFSET('玩法产出(新)'!$C$18,MATCH(X363,'玩法产出(新)'!$B$19:$B$25,0),3)*(1-V363)+OFFSET('玩法产出(新)'!$C$18,1+MATCH(X363,'玩法产出(新)'!$B$19:$B$25,0),3)*(V363))^AB363*(1+OFFSET('玩法产出(新)'!$C$18,MATCH(X363,'玩法产出(新)'!$B$19:$B$25,0),4)*(1-V363)+OFFSET('玩法产出(新)'!$C$18,1+MATCH(X363,'玩法产出(新)'!$B$19:$B$25,0),4)*(V363))^AC363*(1+OFFSET('玩法产出(新)'!$C$18,MATCH(X363,'玩法产出(新)'!$B$19:$B$25,0),5)*(1+V363)+OFFSET('玩法产出(新)'!$C$18,1+MATCH(X363,'玩法产出(新)'!$B$19:$B$25,5),1)*(V363))^AD363*(1+OFFSET('玩法产出(新)'!$C$18,MATCH(X363,'玩法产出(新)'!$B$19:$B$25,0),6)*(1+V363)+OFFSET('玩法产出(新)'!$C$18,1+MATCH(X363,'玩法产出(新)'!$B$19:$B$25,0),6)*(V363))^AE363</f>
        <v>49.4914429211674</v>
      </c>
      <c r="U363" s="226">
        <f ca="1" t="shared" si="153"/>
        <v>0.115027893388885</v>
      </c>
      <c r="V363" s="226">
        <f ca="1">COUNTIF($X$124:$X363,X363)/(COUNTIF($X$124:$X$723,X363)+1)</f>
        <v>0.255670103092783</v>
      </c>
      <c r="W363" s="232">
        <v>30</v>
      </c>
      <c r="X363" s="19" t="s">
        <v>326</v>
      </c>
      <c r="Y363" s="232">
        <f t="shared" si="159"/>
        <v>25160</v>
      </c>
      <c r="Z363" s="19">
        <f ca="1" t="shared" si="135"/>
        <v>0.895557896907216</v>
      </c>
      <c r="AA363" s="293">
        <f ca="1" t="shared" si="136"/>
        <v>5.26096875</v>
      </c>
      <c r="AB363" s="293">
        <f ca="1" t="shared" si="137"/>
        <v>18</v>
      </c>
      <c r="AC363" s="293">
        <f ca="1" t="shared" si="138"/>
        <v>5.1345</v>
      </c>
      <c r="AD363" s="293">
        <f ca="1" t="shared" si="139"/>
        <v>1.283625</v>
      </c>
      <c r="AE363" s="293">
        <f ca="1" t="shared" si="140"/>
        <v>0.32090625</v>
      </c>
      <c r="AF363" s="232" t="str">
        <f t="shared" si="141"/>
        <v>彩1</v>
      </c>
      <c r="AG363" s="232">
        <f>IFERROR(_xlfn.XLOOKUP(C363+1,[2]基因升级!$E$141:$E$500,[2]基因升级!$D$141:$D$500)-1,AG362)</f>
        <v>94</v>
      </c>
      <c r="AH363" s="232">
        <v>7</v>
      </c>
      <c r="AI363" s="232">
        <f t="shared" si="142"/>
        <v>9.2039189417803</v>
      </c>
      <c r="AJ363" s="19">
        <f t="shared" si="154"/>
        <v>0</v>
      </c>
      <c r="AK363" s="285">
        <v>1.864</v>
      </c>
      <c r="AL363" s="287">
        <f t="shared" si="162"/>
        <v>11.2399999999999</v>
      </c>
      <c r="AM363" s="287">
        <f t="shared" si="163"/>
        <v>7.64</v>
      </c>
      <c r="AN363" s="287">
        <f t="shared" ref="AN363:AN426" si="164">AM273</f>
        <v>1.5</v>
      </c>
      <c r="AO363" s="293"/>
      <c r="AQ363" s="19">
        <f t="shared" si="143"/>
        <v>2.13930970415517</v>
      </c>
      <c r="AR363" s="19">
        <f t="shared" si="144"/>
        <v>1.6768416844169</v>
      </c>
      <c r="AS363" s="19">
        <f t="shared" si="145"/>
        <v>1.10681660630838</v>
      </c>
      <c r="AT363" s="19">
        <f t="shared" si="146"/>
        <v>1</v>
      </c>
      <c r="AU363" s="19">
        <f t="shared" si="147"/>
        <v>1</v>
      </c>
      <c r="AV363" s="232">
        <f t="shared" si="127"/>
        <v>0.0399999999999991</v>
      </c>
      <c r="AW363" s="232">
        <f t="shared" si="128"/>
        <v>0.04</v>
      </c>
      <c r="AX363" s="232">
        <f t="shared" si="129"/>
        <v>1.5</v>
      </c>
      <c r="AY363" s="232">
        <f t="shared" si="130"/>
        <v>0</v>
      </c>
      <c r="AZ363" s="232">
        <f t="shared" si="131"/>
        <v>0</v>
      </c>
    </row>
    <row r="364" spans="1:52">
      <c r="A364" s="269"/>
      <c r="C364" s="19">
        <v>241</v>
      </c>
      <c r="D364" s="86">
        <f ca="1" t="shared" si="155"/>
        <v>190.618656097153</v>
      </c>
      <c r="E364" s="251">
        <f ca="1" t="shared" si="132"/>
        <v>0.362062254540403</v>
      </c>
      <c r="F364" s="269">
        <f ca="1" t="shared" si="148"/>
        <v>358.091259772207</v>
      </c>
      <c r="G364" s="283">
        <f ca="1" t="shared" si="149"/>
        <v>129.651328844338</v>
      </c>
      <c r="H364" s="279">
        <f ca="1" t="shared" si="150"/>
        <v>0.246886638496932</v>
      </c>
      <c r="I364" s="269">
        <f ca="1">SUM($J$125:J364)/SUM($H$125:H364)</f>
        <v>0.554860206111292</v>
      </c>
      <c r="J364" s="284">
        <f t="shared" si="156"/>
        <v>0.0921200254548751</v>
      </c>
      <c r="K364" s="19">
        <f t="shared" si="158"/>
        <v>25000</v>
      </c>
      <c r="L364" s="269">
        <f t="shared" si="151"/>
        <v>2.24999999999997</v>
      </c>
      <c r="M364" s="226">
        <f ca="1" t="shared" si="152"/>
        <v>50.688</v>
      </c>
      <c r="N364" s="280">
        <f ca="1" t="shared" si="157"/>
        <v>0.154766613042057</v>
      </c>
      <c r="O364" s="226">
        <f t="shared" si="161"/>
        <v>26.4</v>
      </c>
      <c r="P364" s="19">
        <f ca="1" t="shared" si="126"/>
        <v>10.2</v>
      </c>
      <c r="Q364" s="226">
        <f ca="1" t="shared" si="160"/>
        <v>1.92</v>
      </c>
      <c r="R364" s="269">
        <f ca="1" t="shared" si="133"/>
        <v>0.615084845409864</v>
      </c>
      <c r="S364" s="266">
        <f ca="1" t="shared" si="134"/>
        <v>57.7840748974336</v>
      </c>
      <c r="T364" s="226">
        <f ca="1">(1+OFFSET('玩法产出(新)'!$C$18,MATCH(X364,'玩法产出(新)'!$B$19:$B$25,0),1)*(1-V364)+OFFSET('玩法产出(新)'!$C$18,1+MATCH(X364,'玩法产出(新)'!$B$19:$B$25,0),1)*(V364))^AA364*(1+OFFSET('玩法产出(新)'!$C$18,MATCH(X364,'玩法产出(新)'!$B$19:$B$25,0),3)*(1-V364)+OFFSET('玩法产出(新)'!$C$18,1+MATCH(X364,'玩法产出(新)'!$B$19:$B$25,0),3)*(V364))^AB364*(1+OFFSET('玩法产出(新)'!$C$18,MATCH(X364,'玩法产出(新)'!$B$19:$B$25,0),4)*(1-V364)+OFFSET('玩法产出(新)'!$C$18,1+MATCH(X364,'玩法产出(新)'!$B$19:$B$25,0),4)*(V364))^AC364*(1+OFFSET('玩法产出(新)'!$C$18,MATCH(X364,'玩法产出(新)'!$B$19:$B$25,0),5)*(1+V364)+OFFSET('玩法产出(新)'!$C$18,1+MATCH(X364,'玩法产出(新)'!$B$19:$B$25,5),1)*(V364))^AD364*(1+OFFSET('玩法产出(新)'!$C$18,MATCH(X364,'玩法产出(新)'!$B$19:$B$25,0),6)*(1+V364)+OFFSET('玩法产出(新)'!$C$18,1+MATCH(X364,'玩法产出(新)'!$B$19:$B$25,0),6)*(V364))^AE364</f>
        <v>49.8786178472535</v>
      </c>
      <c r="U364" s="226">
        <f ca="1" t="shared" si="153"/>
        <v>0.115175616043472</v>
      </c>
      <c r="V364" s="226">
        <f ca="1">COUNTIF($X$124:$X364,X364)/(COUNTIF($X$124:$X$723,X364)+1)</f>
        <v>0.257731958762887</v>
      </c>
      <c r="W364" s="19">
        <v>30</v>
      </c>
      <c r="X364" s="19" t="s">
        <v>326</v>
      </c>
      <c r="Y364" s="19">
        <f t="shared" si="159"/>
        <v>25260</v>
      </c>
      <c r="Z364" s="19">
        <f ca="1" t="shared" si="135"/>
        <v>0.891331171391753</v>
      </c>
      <c r="AA364" s="282">
        <f ca="1" t="shared" si="136"/>
        <v>5.233603125</v>
      </c>
      <c r="AB364" s="282">
        <f ca="1" t="shared" si="137"/>
        <v>18</v>
      </c>
      <c r="AC364" s="282">
        <f ca="1" t="shared" si="138"/>
        <v>5.15535</v>
      </c>
      <c r="AD364" s="282">
        <f ca="1" t="shared" si="139"/>
        <v>1.2888375</v>
      </c>
      <c r="AE364" s="282">
        <f ca="1" t="shared" si="140"/>
        <v>0.322209375</v>
      </c>
      <c r="AF364" s="19" t="str">
        <f t="shared" si="141"/>
        <v>彩1</v>
      </c>
      <c r="AG364" s="19">
        <f>IFERROR(_xlfn.XLOOKUP(C364+1,[2]基因升级!$E$141:$E$500,[2]基因升级!$D$141:$D$500)-1,AG363)</f>
        <v>94</v>
      </c>
      <c r="AH364" s="19">
        <v>7</v>
      </c>
      <c r="AI364" s="19">
        <f t="shared" si="142"/>
        <v>9.2039189417803</v>
      </c>
      <c r="AJ364" s="19">
        <f t="shared" si="154"/>
        <v>0</v>
      </c>
      <c r="AK364" s="269">
        <v>1.864</v>
      </c>
      <c r="AL364" s="287">
        <f t="shared" si="162"/>
        <v>11.2799999999999</v>
      </c>
      <c r="AM364" s="287">
        <f t="shared" si="163"/>
        <v>7.68</v>
      </c>
      <c r="AN364" s="287">
        <f t="shared" si="164"/>
        <v>1.9</v>
      </c>
      <c r="AO364" s="293"/>
      <c r="AQ364" s="19">
        <f t="shared" si="143"/>
        <v>2.14510725783952</v>
      </c>
      <c r="AR364" s="19">
        <f t="shared" si="144"/>
        <v>1.68138594449606</v>
      </c>
      <c r="AS364" s="19">
        <f t="shared" si="145"/>
        <v>1.13717990733817</v>
      </c>
      <c r="AT364" s="19">
        <f t="shared" si="146"/>
        <v>1</v>
      </c>
      <c r="AU364" s="19">
        <f t="shared" si="147"/>
        <v>1</v>
      </c>
      <c r="AV364" s="232">
        <f t="shared" si="127"/>
        <v>0.0399999999999991</v>
      </c>
      <c r="AW364" s="232">
        <f t="shared" si="128"/>
        <v>0.04</v>
      </c>
      <c r="AX364" s="232">
        <f t="shared" si="129"/>
        <v>0.4</v>
      </c>
      <c r="AY364" s="232">
        <f t="shared" si="130"/>
        <v>0</v>
      </c>
      <c r="AZ364" s="232">
        <f t="shared" si="131"/>
        <v>0</v>
      </c>
    </row>
    <row r="365" spans="1:52">
      <c r="A365" s="269"/>
      <c r="C365" s="19">
        <v>242</v>
      </c>
      <c r="D365" s="86">
        <f ca="1" t="shared" si="155"/>
        <v>190.978952683212</v>
      </c>
      <c r="E365" s="251">
        <f ca="1" t="shared" si="132"/>
        <v>0.360296586059725</v>
      </c>
      <c r="F365" s="269">
        <f ca="1" t="shared" si="148"/>
        <v>360.526042181318</v>
      </c>
      <c r="G365" s="283">
        <f ca="1" t="shared" si="149"/>
        <v>129.896302183553</v>
      </c>
      <c r="H365" s="279">
        <f ca="1" t="shared" si="150"/>
        <v>0.24497333921488</v>
      </c>
      <c r="I365" s="269">
        <f ca="1">SUM($J$125:J365)/SUM($H$125:H365)</f>
        <v>0.554492259789693</v>
      </c>
      <c r="J365" s="284">
        <f t="shared" si="156"/>
        <v>0.0918105541267806</v>
      </c>
      <c r="K365" s="19">
        <f t="shared" si="158"/>
        <v>25100</v>
      </c>
      <c r="L365" s="269">
        <f t="shared" si="151"/>
        <v>2.25499999999997</v>
      </c>
      <c r="M365" s="226">
        <f ca="1" t="shared" si="152"/>
        <v>51.216</v>
      </c>
      <c r="N365" s="280">
        <f ca="1" t="shared" si="157"/>
        <v>0.153162785088107</v>
      </c>
      <c r="O365" s="226">
        <f t="shared" si="161"/>
        <v>26.4</v>
      </c>
      <c r="P365" s="19">
        <f ca="1" t="shared" si="126"/>
        <v>10.4</v>
      </c>
      <c r="Q365" s="226">
        <f ca="1" t="shared" si="160"/>
        <v>1.94</v>
      </c>
      <c r="R365" s="269">
        <f ca="1" t="shared" si="133"/>
        <v>0.616312408221653</v>
      </c>
      <c r="S365" s="266">
        <f ca="1" t="shared" si="134"/>
        <v>57.8993981442784</v>
      </c>
      <c r="T365" s="226">
        <f ca="1">(1+OFFSET('玩法产出(新)'!$C$18,MATCH(X365,'玩法产出(新)'!$B$19:$B$25,0),1)*(1-V365)+OFFSET('玩法产出(新)'!$C$18,1+MATCH(X365,'玩法产出(新)'!$B$19:$B$25,0),1)*(V365))^AA365*(1+OFFSET('玩法产出(新)'!$C$18,MATCH(X365,'玩法产出(新)'!$B$19:$B$25,0),3)*(1-V365)+OFFSET('玩法产出(新)'!$C$18,1+MATCH(X365,'玩法产出(新)'!$B$19:$B$25,0),3)*(V365))^AB365*(1+OFFSET('玩法产出(新)'!$C$18,MATCH(X365,'玩法产出(新)'!$B$19:$B$25,0),4)*(1-V365)+OFFSET('玩法产出(新)'!$C$18,1+MATCH(X365,'玩法产出(新)'!$B$19:$B$25,0),4)*(V365))^AC365*(1+OFFSET('玩法产出(新)'!$C$18,MATCH(X365,'玩法产出(新)'!$B$19:$B$25,0),5)*(1+V365)+OFFSET('玩法产出(新)'!$C$18,1+MATCH(X365,'玩法产出(新)'!$B$19:$B$25,5),1)*(V365))^AD365*(1+OFFSET('玩法产出(新)'!$C$18,MATCH(X365,'玩法产出(新)'!$B$19:$B$25,0),6)*(1+V365)+OFFSET('玩法产出(新)'!$C$18,1+MATCH(X365,'玩法产出(新)'!$B$19:$B$25,0),6)*(V365))^AE365</f>
        <v>50.269323781793</v>
      </c>
      <c r="U365" s="226">
        <f ca="1" t="shared" si="153"/>
        <v>0.115323246844838</v>
      </c>
      <c r="V365" s="226">
        <f ca="1">COUNTIF($X$124:$X365,X365)/(COUNTIF($X$124:$X$723,X365)+1)</f>
        <v>0.25979381443299</v>
      </c>
      <c r="W365" s="19">
        <v>30</v>
      </c>
      <c r="X365" s="19" t="s">
        <v>326</v>
      </c>
      <c r="Y365" s="19">
        <f t="shared" si="159"/>
        <v>25360</v>
      </c>
      <c r="Z365" s="19">
        <f ca="1" t="shared" si="135"/>
        <v>0.887099931958763</v>
      </c>
      <c r="AA365" s="282">
        <f ca="1" t="shared" si="136"/>
        <v>5.2062375</v>
      </c>
      <c r="AB365" s="282">
        <f ca="1" t="shared" si="137"/>
        <v>18</v>
      </c>
      <c r="AC365" s="282">
        <f ca="1" t="shared" si="138"/>
        <v>5.1762</v>
      </c>
      <c r="AD365" s="282">
        <f ca="1" t="shared" si="139"/>
        <v>1.29405</v>
      </c>
      <c r="AE365" s="282">
        <f ca="1" t="shared" si="140"/>
        <v>0.3235125</v>
      </c>
      <c r="AF365" s="19" t="str">
        <f t="shared" si="141"/>
        <v>彩1</v>
      </c>
      <c r="AG365" s="19">
        <f>IFERROR(_xlfn.XLOOKUP(C365+1,[2]基因升级!$E$141:$E$500,[2]基因升级!$D$141:$D$500)-1,AG364)</f>
        <v>94</v>
      </c>
      <c r="AH365" s="19">
        <v>7</v>
      </c>
      <c r="AI365" s="19">
        <f t="shared" si="142"/>
        <v>9.2039189417803</v>
      </c>
      <c r="AJ365" s="19">
        <f t="shared" si="154"/>
        <v>0</v>
      </c>
      <c r="AK365" s="269">
        <v>1.864</v>
      </c>
      <c r="AL365" s="287">
        <f t="shared" si="162"/>
        <v>11.3199999999999</v>
      </c>
      <c r="AM365" s="287">
        <f t="shared" si="163"/>
        <v>7.72</v>
      </c>
      <c r="AN365" s="287">
        <f t="shared" si="164"/>
        <v>2.3</v>
      </c>
      <c r="AO365" s="293"/>
      <c r="AQ365" s="19">
        <f t="shared" si="143"/>
        <v>2.15092052296044</v>
      </c>
      <c r="AR365" s="19">
        <f t="shared" si="144"/>
        <v>1.68594251957184</v>
      </c>
      <c r="AS365" s="19">
        <f t="shared" si="145"/>
        <v>1.16837616483443</v>
      </c>
      <c r="AT365" s="19">
        <f t="shared" si="146"/>
        <v>1</v>
      </c>
      <c r="AU365" s="19">
        <f t="shared" si="147"/>
        <v>1</v>
      </c>
      <c r="AV365" s="232">
        <f t="shared" si="127"/>
        <v>0.0399999999999991</v>
      </c>
      <c r="AW365" s="232">
        <f t="shared" si="128"/>
        <v>0.04</v>
      </c>
      <c r="AX365" s="232">
        <f t="shared" si="129"/>
        <v>0.4</v>
      </c>
      <c r="AY365" s="232">
        <f t="shared" si="130"/>
        <v>0</v>
      </c>
      <c r="AZ365" s="232">
        <f t="shared" si="131"/>
        <v>0</v>
      </c>
    </row>
    <row r="366" spans="1:52">
      <c r="A366" s="269"/>
      <c r="C366" s="19">
        <v>243</v>
      </c>
      <c r="D366" s="86">
        <f ca="1" t="shared" si="155"/>
        <v>191.337518612877</v>
      </c>
      <c r="E366" s="251">
        <f ca="1" t="shared" si="132"/>
        <v>0.358565929664136</v>
      </c>
      <c r="F366" s="269">
        <f ca="1" t="shared" si="148"/>
        <v>362.9441242485</v>
      </c>
      <c r="G366" s="283">
        <f ca="1" t="shared" si="149"/>
        <v>130.139397327299</v>
      </c>
      <c r="H366" s="279">
        <f ca="1" t="shared" si="150"/>
        <v>0.243095143745705</v>
      </c>
      <c r="I366" s="269">
        <f ca="1">SUM($J$125:J366)/SUM($H$125:H366)</f>
        <v>0.554131919303056</v>
      </c>
      <c r="J366" s="284">
        <f t="shared" si="156"/>
        <v>0.0915032867023342</v>
      </c>
      <c r="K366" s="19">
        <f t="shared" si="158"/>
        <v>25200</v>
      </c>
      <c r="L366" s="269">
        <f t="shared" si="151"/>
        <v>2.25999999999997</v>
      </c>
      <c r="M366" s="226">
        <f ca="1" t="shared" si="152"/>
        <v>51.744</v>
      </c>
      <c r="N366" s="280">
        <f ca="1" t="shared" si="157"/>
        <v>0.151591857043357</v>
      </c>
      <c r="O366" s="226">
        <f t="shared" si="161"/>
        <v>26.4</v>
      </c>
      <c r="P366" s="19">
        <f ca="1" t="shared" si="126"/>
        <v>10.6</v>
      </c>
      <c r="Q366" s="226">
        <f ca="1" t="shared" si="160"/>
        <v>1.96</v>
      </c>
      <c r="R366" s="269">
        <f ca="1" t="shared" si="133"/>
        <v>0.617541541518882</v>
      </c>
      <c r="S366" s="266">
        <f ca="1" t="shared" si="134"/>
        <v>58.0148689301969</v>
      </c>
      <c r="T366" s="226">
        <f ca="1">(1+OFFSET('玩法产出(新)'!$C$18,MATCH(X366,'玩法产出(新)'!$B$19:$B$25,0),1)*(1-V366)+OFFSET('玩法产出(新)'!$C$18,1+MATCH(X366,'玩法产出(新)'!$B$19:$B$25,0),1)*(V366))^AA366*(1+OFFSET('玩法产出(新)'!$C$18,MATCH(X366,'玩法产出(新)'!$B$19:$B$25,0),3)*(1-V366)+OFFSET('玩法产出(新)'!$C$18,1+MATCH(X366,'玩法产出(新)'!$B$19:$B$25,0),3)*(V366))^AB366*(1+OFFSET('玩法产出(新)'!$C$18,MATCH(X366,'玩法产出(新)'!$B$19:$B$25,0),4)*(1-V366)+OFFSET('玩法产出(新)'!$C$18,1+MATCH(X366,'玩法产出(新)'!$B$19:$B$25,0),4)*(V366))^AC366*(1+OFFSET('玩法产出(新)'!$C$18,MATCH(X366,'玩法产出(新)'!$B$19:$B$25,0),5)*(1+V366)+OFFSET('玩法产出(新)'!$C$18,1+MATCH(X366,'玩法产出(新)'!$B$19:$B$25,5),1)*(V366))^AD366*(1+OFFSET('玩法产出(新)'!$C$18,MATCH(X366,'玩法产出(新)'!$B$19:$B$25,0),6)*(1+V366)+OFFSET('玩法产出(新)'!$C$18,1+MATCH(X366,'玩法产出(新)'!$B$19:$B$25,0),6)*(V366))^AE366</f>
        <v>50.6635959049651</v>
      </c>
      <c r="U366" s="226">
        <f ca="1" t="shared" si="153"/>
        <v>0.115470785918445</v>
      </c>
      <c r="V366" s="226">
        <f ca="1">COUNTIF($X$124:$X366,X366)/(COUNTIF($X$124:$X$723,X366)+1)</f>
        <v>0.261855670103093</v>
      </c>
      <c r="W366" s="19">
        <v>30</v>
      </c>
      <c r="X366" s="19" t="s">
        <v>326</v>
      </c>
      <c r="Y366" s="19">
        <f t="shared" si="159"/>
        <v>25460</v>
      </c>
      <c r="Z366" s="19">
        <f ca="1" t="shared" si="135"/>
        <v>0.882864178608247</v>
      </c>
      <c r="AA366" s="282">
        <f ca="1" t="shared" si="136"/>
        <v>5.178871875</v>
      </c>
      <c r="AB366" s="282">
        <f ca="1" t="shared" si="137"/>
        <v>18</v>
      </c>
      <c r="AC366" s="282">
        <f ca="1" t="shared" si="138"/>
        <v>5.19705</v>
      </c>
      <c r="AD366" s="282">
        <f ca="1" t="shared" si="139"/>
        <v>1.2992625</v>
      </c>
      <c r="AE366" s="282">
        <f ca="1" t="shared" si="140"/>
        <v>0.324815625</v>
      </c>
      <c r="AF366" s="19" t="str">
        <f t="shared" si="141"/>
        <v>彩1</v>
      </c>
      <c r="AG366" s="19">
        <f>IFERROR(_xlfn.XLOOKUP(C366+1,[2]基因升级!$E$141:$E$500,[2]基因升级!$D$141:$D$500)-1,AG365)</f>
        <v>94</v>
      </c>
      <c r="AH366" s="19">
        <v>7</v>
      </c>
      <c r="AI366" s="19">
        <f t="shared" si="142"/>
        <v>9.2039189417803</v>
      </c>
      <c r="AJ366" s="19">
        <f t="shared" si="154"/>
        <v>0</v>
      </c>
      <c r="AK366" s="269">
        <v>1.864</v>
      </c>
      <c r="AL366" s="287">
        <f t="shared" si="162"/>
        <v>11.3599999999999</v>
      </c>
      <c r="AM366" s="287">
        <f t="shared" si="163"/>
        <v>7.76</v>
      </c>
      <c r="AN366" s="287">
        <f t="shared" si="164"/>
        <v>2.6</v>
      </c>
      <c r="AO366" s="293"/>
      <c r="AQ366" s="19">
        <f t="shared" si="143"/>
        <v>2.1567495420961</v>
      </c>
      <c r="AR366" s="19">
        <f t="shared" si="144"/>
        <v>1.69051144301801</v>
      </c>
      <c r="AS366" s="19">
        <f t="shared" si="145"/>
        <v>1.19233370823059</v>
      </c>
      <c r="AT366" s="19">
        <f t="shared" si="146"/>
        <v>1</v>
      </c>
      <c r="AU366" s="19">
        <f t="shared" si="147"/>
        <v>1</v>
      </c>
      <c r="AV366" s="232">
        <f t="shared" si="127"/>
        <v>0.0399999999999991</v>
      </c>
      <c r="AW366" s="232">
        <f t="shared" si="128"/>
        <v>0.04</v>
      </c>
      <c r="AX366" s="232">
        <f t="shared" si="129"/>
        <v>0.3</v>
      </c>
      <c r="AY366" s="232">
        <f t="shared" si="130"/>
        <v>0</v>
      </c>
      <c r="AZ366" s="232">
        <f t="shared" si="131"/>
        <v>0</v>
      </c>
    </row>
    <row r="367" spans="1:52">
      <c r="A367" s="269"/>
      <c r="C367" s="19">
        <v>244</v>
      </c>
      <c r="D367" s="86">
        <f ca="1" t="shared" si="155"/>
        <v>191.694387871805</v>
      </c>
      <c r="E367" s="251">
        <f ca="1" t="shared" si="132"/>
        <v>0.356869258928416</v>
      </c>
      <c r="F367" s="269">
        <f ca="1" t="shared" si="148"/>
        <v>365.34569759339</v>
      </c>
      <c r="G367" s="283">
        <f ca="1" t="shared" si="149"/>
        <v>130.380648352838</v>
      </c>
      <c r="H367" s="279">
        <f ca="1" t="shared" si="150"/>
        <v>0.241251025539412</v>
      </c>
      <c r="I367" s="269">
        <f ca="1">SUM($J$125:J367)/SUM($H$125:H367)</f>
        <v>0.553778983048741</v>
      </c>
      <c r="J367" s="284">
        <f t="shared" si="156"/>
        <v>0.0911981986942578</v>
      </c>
      <c r="K367" s="19">
        <f t="shared" si="158"/>
        <v>25300</v>
      </c>
      <c r="L367" s="269">
        <f t="shared" si="151"/>
        <v>2.26499999999997</v>
      </c>
      <c r="M367" s="226">
        <f ca="1" t="shared" si="152"/>
        <v>52.272</v>
      </c>
      <c r="N367" s="280">
        <f ca="1" t="shared" si="157"/>
        <v>0.150052826845148</v>
      </c>
      <c r="O367" s="226">
        <f t="shared" si="161"/>
        <v>26.4</v>
      </c>
      <c r="P367" s="19">
        <f ca="1" t="shared" si="126"/>
        <v>10.8</v>
      </c>
      <c r="Q367" s="226">
        <f ca="1" t="shared" si="160"/>
        <v>1.98</v>
      </c>
      <c r="R367" s="269">
        <f ca="1" t="shared" si="133"/>
        <v>0.618772244326479</v>
      </c>
      <c r="S367" s="266">
        <f ca="1" t="shared" si="134"/>
        <v>58.1304871635859</v>
      </c>
      <c r="T367" s="226">
        <f ca="1">(1+OFFSET('玩法产出(新)'!$C$18,MATCH(X367,'玩法产出(新)'!$B$19:$B$25,0),1)*(1-V367)+OFFSET('玩法产出(新)'!$C$18,1+MATCH(X367,'玩法产出(新)'!$B$19:$B$25,0),1)*(V367))^AA367*(1+OFFSET('玩法产出(新)'!$C$18,MATCH(X367,'玩法产出(新)'!$B$19:$B$25,0),3)*(1-V367)+OFFSET('玩法产出(新)'!$C$18,1+MATCH(X367,'玩法产出(新)'!$B$19:$B$25,0),3)*(V367))^AB367*(1+OFFSET('玩法产出(新)'!$C$18,MATCH(X367,'玩法产出(新)'!$B$19:$B$25,0),4)*(1-V367)+OFFSET('玩法产出(新)'!$C$18,1+MATCH(X367,'玩法产出(新)'!$B$19:$B$25,0),4)*(V367))^AC367*(1+OFFSET('玩法产出(新)'!$C$18,MATCH(X367,'玩法产出(新)'!$B$19:$B$25,0),5)*(1+V367)+OFFSET('玩法产出(新)'!$C$18,1+MATCH(X367,'玩法产出(新)'!$B$19:$B$25,5),1)*(V367))^AD367*(1+OFFSET('玩法产出(新)'!$C$18,MATCH(X367,'玩法产出(新)'!$B$19:$B$25,0),6)*(1+V367)+OFFSET('玩法产出(新)'!$C$18,1+MATCH(X367,'玩法产出(新)'!$B$19:$B$25,0),6)*(V367))^AE367</f>
        <v>51.0614697730071</v>
      </c>
      <c r="U367" s="226">
        <f ca="1" t="shared" si="153"/>
        <v>0.115618233389011</v>
      </c>
      <c r="V367" s="226">
        <f ca="1">COUNTIF($X$124:$X367,X367)/(COUNTIF($X$124:$X$723,X367)+1)</f>
        <v>0.263917525773196</v>
      </c>
      <c r="W367" s="19">
        <v>30</v>
      </c>
      <c r="X367" s="19" t="s">
        <v>326</v>
      </c>
      <c r="Y367" s="19">
        <f t="shared" si="159"/>
        <v>25560</v>
      </c>
      <c r="Z367" s="19">
        <f ca="1" t="shared" si="135"/>
        <v>0.878623911340206</v>
      </c>
      <c r="AA367" s="282">
        <f ca="1" t="shared" si="136"/>
        <v>5.15150625</v>
      </c>
      <c r="AB367" s="282">
        <f ca="1" t="shared" si="137"/>
        <v>18</v>
      </c>
      <c r="AC367" s="282">
        <f ca="1" t="shared" si="138"/>
        <v>5.2179</v>
      </c>
      <c r="AD367" s="282">
        <f ca="1" t="shared" si="139"/>
        <v>1.304475</v>
      </c>
      <c r="AE367" s="282">
        <f ca="1" t="shared" si="140"/>
        <v>0.32611875</v>
      </c>
      <c r="AF367" s="19" t="str">
        <f t="shared" si="141"/>
        <v>彩1</v>
      </c>
      <c r="AG367" s="19">
        <f>IFERROR(_xlfn.XLOOKUP(C367+1,[2]基因升级!$E$141:$E$500,[2]基因升级!$D$141:$D$500)-1,AG366)</f>
        <v>94</v>
      </c>
      <c r="AH367" s="19">
        <v>7</v>
      </c>
      <c r="AI367" s="19">
        <f t="shared" si="142"/>
        <v>9.2039189417803</v>
      </c>
      <c r="AJ367" s="19">
        <f t="shared" si="154"/>
        <v>0</v>
      </c>
      <c r="AK367" s="269">
        <v>1.864</v>
      </c>
      <c r="AL367" s="287">
        <f t="shared" si="162"/>
        <v>11.3999999999999</v>
      </c>
      <c r="AM367" s="287">
        <f t="shared" si="163"/>
        <v>7.8</v>
      </c>
      <c r="AN367" s="287">
        <f t="shared" si="164"/>
        <v>2.9</v>
      </c>
      <c r="AO367" s="293"/>
      <c r="AQ367" s="19">
        <f t="shared" si="143"/>
        <v>2.16259435794007</v>
      </c>
      <c r="AR367" s="19">
        <f t="shared" si="144"/>
        <v>1.69509274829881</v>
      </c>
      <c r="AS367" s="19">
        <f t="shared" si="145"/>
        <v>1.21678250085184</v>
      </c>
      <c r="AT367" s="19">
        <f t="shared" si="146"/>
        <v>1</v>
      </c>
      <c r="AU367" s="19">
        <f t="shared" si="147"/>
        <v>1</v>
      </c>
      <c r="AV367" s="232">
        <f t="shared" si="127"/>
        <v>0.0399999999999991</v>
      </c>
      <c r="AW367" s="232">
        <f t="shared" si="128"/>
        <v>0.04</v>
      </c>
      <c r="AX367" s="232">
        <f t="shared" si="129"/>
        <v>0.3</v>
      </c>
      <c r="AY367" s="232">
        <f t="shared" si="130"/>
        <v>0</v>
      </c>
      <c r="AZ367" s="232">
        <f t="shared" si="131"/>
        <v>0</v>
      </c>
    </row>
    <row r="368" spans="1:52">
      <c r="A368" s="269"/>
      <c r="C368" s="19">
        <v>245</v>
      </c>
      <c r="D368" s="86">
        <f ca="1" t="shared" si="155"/>
        <v>192.04959345989</v>
      </c>
      <c r="E368" s="251">
        <f ca="1" t="shared" si="132"/>
        <v>0.355205588084595</v>
      </c>
      <c r="F368" s="269">
        <f ca="1" t="shared" si="148"/>
        <v>367.730949999675</v>
      </c>
      <c r="G368" s="283">
        <f ca="1" t="shared" si="149"/>
        <v>130.620088351542</v>
      </c>
      <c r="H368" s="279">
        <f ca="1" t="shared" si="150"/>
        <v>0.239439998703205</v>
      </c>
      <c r="I368" s="269">
        <f ca="1">SUM($J$125:J368)/SUM($H$125:H368)</f>
        <v>0.553433256449082</v>
      </c>
      <c r="J368" s="284">
        <f t="shared" si="156"/>
        <v>0.090895265986731</v>
      </c>
      <c r="K368" s="19">
        <f t="shared" si="158"/>
        <v>25400</v>
      </c>
      <c r="L368" s="269">
        <f t="shared" si="151"/>
        <v>2.26999999999997</v>
      </c>
      <c r="M368" s="226">
        <f ca="1" t="shared" si="152"/>
        <v>52.8</v>
      </c>
      <c r="N368" s="280">
        <f ca="1" t="shared" si="157"/>
        <v>0.148544732716474</v>
      </c>
      <c r="O368" s="226">
        <f t="shared" si="161"/>
        <v>26.4</v>
      </c>
      <c r="P368" s="19">
        <f ca="1" t="shared" si="126"/>
        <v>11</v>
      </c>
      <c r="Q368" s="226">
        <f ca="1" t="shared" si="160"/>
        <v>2</v>
      </c>
      <c r="R368" s="269">
        <f ca="1" t="shared" si="133"/>
        <v>0.6200045156707</v>
      </c>
      <c r="S368" s="266">
        <f ca="1" t="shared" si="134"/>
        <v>58.2462527529673</v>
      </c>
      <c r="T368" s="226">
        <f ca="1">(1+OFFSET('玩法产出(新)'!$C$18,MATCH(X368,'玩法产出(新)'!$B$19:$B$25,0),1)*(1-V368)+OFFSET('玩法产出(新)'!$C$18,1+MATCH(X368,'玩法产出(新)'!$B$19:$B$25,0),1)*(V368))^AA368*(1+OFFSET('玩法产出(新)'!$C$18,MATCH(X368,'玩法产出(新)'!$B$19:$B$25,0),3)*(1-V368)+OFFSET('玩法产出(新)'!$C$18,1+MATCH(X368,'玩法产出(新)'!$B$19:$B$25,0),3)*(V368))^AB368*(1+OFFSET('玩法产出(新)'!$C$18,MATCH(X368,'玩法产出(新)'!$B$19:$B$25,0),4)*(1-V368)+OFFSET('玩法产出(新)'!$C$18,1+MATCH(X368,'玩法产出(新)'!$B$19:$B$25,0),4)*(V368))^AC368*(1+OFFSET('玩法产出(新)'!$C$18,MATCH(X368,'玩法产出(新)'!$B$19:$B$25,0),5)*(1+V368)+OFFSET('玩法产出(新)'!$C$18,1+MATCH(X368,'玩法产出(新)'!$B$19:$B$25,5),1)*(V368))^AD368*(1+OFFSET('玩法产出(新)'!$C$18,MATCH(X368,'玩法产出(新)'!$B$19:$B$25,0),6)*(1+V368)+OFFSET('玩法产出(新)'!$C$18,1+MATCH(X368,'玩法产出(新)'!$B$19:$B$25,0),6)*(V368))^AE368</f>
        <v>51.4629813224686</v>
      </c>
      <c r="U368" s="226">
        <f ca="1" t="shared" si="153"/>
        <v>0.115765589381391</v>
      </c>
      <c r="V368" s="226">
        <f ca="1">COUNTIF($X$124:$X368,X368)/(COUNTIF($X$124:$X$723,X368)+1)</f>
        <v>0.265979381443299</v>
      </c>
      <c r="W368" s="19">
        <v>30</v>
      </c>
      <c r="X368" s="19" t="s">
        <v>326</v>
      </c>
      <c r="Y368" s="19">
        <f t="shared" si="159"/>
        <v>25660</v>
      </c>
      <c r="Z368" s="19">
        <f ca="1" t="shared" si="135"/>
        <v>0.87437913015464</v>
      </c>
      <c r="AA368" s="282">
        <f ca="1" t="shared" si="136"/>
        <v>5.124140625</v>
      </c>
      <c r="AB368" s="282">
        <f ca="1" t="shared" si="137"/>
        <v>18</v>
      </c>
      <c r="AC368" s="282">
        <f ca="1" t="shared" si="138"/>
        <v>5.23875</v>
      </c>
      <c r="AD368" s="282">
        <f ca="1" t="shared" si="139"/>
        <v>1.3096875</v>
      </c>
      <c r="AE368" s="282">
        <f ca="1" t="shared" si="140"/>
        <v>0.327421875</v>
      </c>
      <c r="AF368" s="19" t="str">
        <f t="shared" si="141"/>
        <v>彩1</v>
      </c>
      <c r="AG368" s="19">
        <f>IFERROR(_xlfn.XLOOKUP(C368+1,[2]基因升级!$E$141:$E$500,[2]基因升级!$D$141:$D$500)-1,AG367)</f>
        <v>94</v>
      </c>
      <c r="AH368" s="19">
        <v>7</v>
      </c>
      <c r="AI368" s="19">
        <f t="shared" si="142"/>
        <v>9.2039189417803</v>
      </c>
      <c r="AJ368" s="19">
        <f t="shared" si="154"/>
        <v>0</v>
      </c>
      <c r="AK368" s="269">
        <v>1.864</v>
      </c>
      <c r="AL368" s="287">
        <f t="shared" si="162"/>
        <v>11.4399999999999</v>
      </c>
      <c r="AM368" s="287">
        <f t="shared" si="163"/>
        <v>7.84</v>
      </c>
      <c r="AN368" s="287">
        <f t="shared" si="164"/>
        <v>3.2</v>
      </c>
      <c r="AO368" s="293"/>
      <c r="AQ368" s="19">
        <f t="shared" si="143"/>
        <v>2.16845501330159</v>
      </c>
      <c r="AR368" s="19">
        <f t="shared" si="144"/>
        <v>1.69968646896914</v>
      </c>
      <c r="AS368" s="19">
        <f t="shared" si="145"/>
        <v>1.24173261575938</v>
      </c>
      <c r="AT368" s="19">
        <f t="shared" si="146"/>
        <v>1</v>
      </c>
      <c r="AU368" s="19">
        <f t="shared" si="147"/>
        <v>1</v>
      </c>
      <c r="AV368" s="232">
        <f t="shared" si="127"/>
        <v>0.0399999999999991</v>
      </c>
      <c r="AW368" s="232">
        <f t="shared" si="128"/>
        <v>0.04</v>
      </c>
      <c r="AX368" s="232">
        <f t="shared" si="129"/>
        <v>0.3</v>
      </c>
      <c r="AY368" s="232">
        <f t="shared" si="130"/>
        <v>0</v>
      </c>
      <c r="AZ368" s="232">
        <f t="shared" si="131"/>
        <v>0</v>
      </c>
    </row>
    <row r="369" spans="1:52">
      <c r="A369" s="269"/>
      <c r="C369" s="19">
        <v>246</v>
      </c>
      <c r="D369" s="86">
        <f ca="1" t="shared" si="155"/>
        <v>192.4031674299</v>
      </c>
      <c r="E369" s="251">
        <f ca="1" t="shared" si="132"/>
        <v>0.353573970009902</v>
      </c>
      <c r="F369" s="269">
        <f ca="1" t="shared" si="148"/>
        <v>370.100065521981</v>
      </c>
      <c r="G369" s="283">
        <f ca="1" t="shared" si="149"/>
        <v>130.857749467532</v>
      </c>
      <c r="H369" s="279">
        <f ca="1" t="shared" si="150"/>
        <v>0.237661115989994</v>
      </c>
      <c r="I369" s="269">
        <f ca="1">SUM($J$125:J369)/SUM($H$125:H369)</f>
        <v>0.553094551643592</v>
      </c>
      <c r="J369" s="284">
        <f t="shared" si="156"/>
        <v>0.0905944648283139</v>
      </c>
      <c r="K369" s="19">
        <f t="shared" si="158"/>
        <v>25500</v>
      </c>
      <c r="L369" s="269">
        <f t="shared" si="151"/>
        <v>2.27499999999997</v>
      </c>
      <c r="M369" s="226">
        <f ca="1" t="shared" si="152"/>
        <v>53.328</v>
      </c>
      <c r="N369" s="280">
        <f ca="1" t="shared" si="157"/>
        <v>0.147066651161666</v>
      </c>
      <c r="O369" s="226">
        <f t="shared" si="161"/>
        <v>26.4</v>
      </c>
      <c r="P369" s="19">
        <f ca="1" t="shared" si="126"/>
        <v>11.2</v>
      </c>
      <c r="Q369" s="226">
        <f ca="1" t="shared" si="160"/>
        <v>2.02</v>
      </c>
      <c r="R369" s="269">
        <f ca="1" t="shared" si="133"/>
        <v>0.621238354579126</v>
      </c>
      <c r="S369" s="266">
        <f ca="1" t="shared" si="134"/>
        <v>58.3621656069872</v>
      </c>
      <c r="T369" s="226">
        <f ca="1">(1+OFFSET('玩法产出(新)'!$C$18,MATCH(X369,'玩法产出(新)'!$B$19:$B$25,0),1)*(1-V369)+OFFSET('玩法产出(新)'!$C$18,1+MATCH(X369,'玩法产出(新)'!$B$19:$B$25,0),1)*(V369))^AA369*(1+OFFSET('玩法产出(新)'!$C$18,MATCH(X369,'玩法产出(新)'!$B$19:$B$25,0),3)*(1-V369)+OFFSET('玩法产出(新)'!$C$18,1+MATCH(X369,'玩法产出(新)'!$B$19:$B$25,0),3)*(V369))^AB369*(1+OFFSET('玩法产出(新)'!$C$18,MATCH(X369,'玩法产出(新)'!$B$19:$B$25,0),4)*(1-V369)+OFFSET('玩法产出(新)'!$C$18,1+MATCH(X369,'玩法产出(新)'!$B$19:$B$25,0),4)*(V369))^AC369*(1+OFFSET('玩法产出(新)'!$C$18,MATCH(X369,'玩法产出(新)'!$B$19:$B$25,0),5)*(1+V369)+OFFSET('玩法产出(新)'!$C$18,1+MATCH(X369,'玩法产出(新)'!$B$19:$B$25,5),1)*(V369))^AD369*(1+OFFSET('玩法产出(新)'!$C$18,MATCH(X369,'玩法产出(新)'!$B$19:$B$25,0),6)*(1+V369)+OFFSET('玩法产出(新)'!$C$18,1+MATCH(X369,'玩法产出(新)'!$B$19:$B$25,0),6)*(V369))^AE369</f>
        <v>51.8681668745145</v>
      </c>
      <c r="U369" s="226">
        <f ca="1" t="shared" si="153"/>
        <v>0.115912854019922</v>
      </c>
      <c r="V369" s="226">
        <f ca="1">COUNTIF($X$124:$X369,X369)/(COUNTIF($X$124:$X$723,X369)+1)</f>
        <v>0.268041237113402</v>
      </c>
      <c r="W369" s="19">
        <v>30</v>
      </c>
      <c r="X369" s="19" t="s">
        <v>326</v>
      </c>
      <c r="Y369" s="19">
        <f t="shared" si="159"/>
        <v>25760</v>
      </c>
      <c r="Z369" s="19">
        <f ca="1" t="shared" si="135"/>
        <v>0.870129835051547</v>
      </c>
      <c r="AA369" s="282">
        <f ca="1" t="shared" si="136"/>
        <v>5.096775</v>
      </c>
      <c r="AB369" s="282">
        <f ca="1" t="shared" si="137"/>
        <v>18</v>
      </c>
      <c r="AC369" s="282">
        <f ca="1" t="shared" si="138"/>
        <v>5.2596</v>
      </c>
      <c r="AD369" s="282">
        <f ca="1" t="shared" si="139"/>
        <v>1.3149</v>
      </c>
      <c r="AE369" s="282">
        <f ca="1" t="shared" si="140"/>
        <v>0.328725</v>
      </c>
      <c r="AF369" s="19" t="str">
        <f t="shared" si="141"/>
        <v>彩1</v>
      </c>
      <c r="AG369" s="19">
        <f>IFERROR(_xlfn.XLOOKUP(C369+1,[2]基因升级!$E$141:$E$500,[2]基因升级!$D$141:$D$500)-1,AG368)</f>
        <v>94</v>
      </c>
      <c r="AH369" s="19">
        <v>7</v>
      </c>
      <c r="AI369" s="19">
        <f t="shared" si="142"/>
        <v>9.2039189417803</v>
      </c>
      <c r="AJ369" s="19">
        <f t="shared" si="154"/>
        <v>0</v>
      </c>
      <c r="AK369" s="269">
        <v>1.864</v>
      </c>
      <c r="AL369" s="287">
        <f t="shared" si="162"/>
        <v>11.4799999999999</v>
      </c>
      <c r="AM369" s="287">
        <f t="shared" si="163"/>
        <v>7.88</v>
      </c>
      <c r="AN369" s="287">
        <f t="shared" si="164"/>
        <v>3.4</v>
      </c>
      <c r="AO369" s="293"/>
      <c r="AQ369" s="19">
        <f t="shared" si="143"/>
        <v>2.17433155110596</v>
      </c>
      <c r="AR369" s="19">
        <f t="shared" si="144"/>
        <v>1.70429263867485</v>
      </c>
      <c r="AS369" s="19">
        <f t="shared" si="145"/>
        <v>1.25864960580211</v>
      </c>
      <c r="AT369" s="19">
        <f t="shared" si="146"/>
        <v>1</v>
      </c>
      <c r="AU369" s="19">
        <f t="shared" si="147"/>
        <v>1</v>
      </c>
      <c r="AV369" s="232">
        <f t="shared" si="127"/>
        <v>0.0399999999999991</v>
      </c>
      <c r="AW369" s="232">
        <f t="shared" si="128"/>
        <v>0.04</v>
      </c>
      <c r="AX369" s="232">
        <f t="shared" si="129"/>
        <v>0.2</v>
      </c>
      <c r="AY369" s="232">
        <f t="shared" si="130"/>
        <v>0</v>
      </c>
      <c r="AZ369" s="232">
        <f t="shared" si="131"/>
        <v>0</v>
      </c>
    </row>
    <row r="370" spans="1:52">
      <c r="A370" s="269"/>
      <c r="C370" s="19">
        <v>247</v>
      </c>
      <c r="D370" s="86">
        <f ca="1" t="shared" si="155"/>
        <v>192.755140924234</v>
      </c>
      <c r="E370" s="251">
        <f ca="1" t="shared" si="132"/>
        <v>0.35197349433405</v>
      </c>
      <c r="F370" s="269">
        <f ca="1" t="shared" si="148"/>
        <v>372.453224588607</v>
      </c>
      <c r="G370" s="283">
        <f ca="1" t="shared" si="149"/>
        <v>131.093662934437</v>
      </c>
      <c r="H370" s="279">
        <f ca="1" t="shared" si="150"/>
        <v>0.235913466905288</v>
      </c>
      <c r="I370" s="269">
        <f ca="1">SUM($J$125:J370)/SUM($H$125:H370)</f>
        <v>0.552762687197461</v>
      </c>
      <c r="J370" s="284">
        <f t="shared" si="156"/>
        <v>0.0902957718248985</v>
      </c>
      <c r="K370" s="19">
        <f t="shared" si="158"/>
        <v>25600</v>
      </c>
      <c r="L370" s="269">
        <f t="shared" si="151"/>
        <v>2.27999999999997</v>
      </c>
      <c r="M370" s="226">
        <f ca="1" t="shared" si="152"/>
        <v>53.856</v>
      </c>
      <c r="N370" s="280">
        <f ca="1" t="shared" si="157"/>
        <v>0.145617695080389</v>
      </c>
      <c r="O370" s="226">
        <f t="shared" si="161"/>
        <v>26.4</v>
      </c>
      <c r="P370" s="19">
        <f ca="1" t="shared" si="126"/>
        <v>11.4</v>
      </c>
      <c r="Q370" s="226">
        <f ca="1" t="shared" si="160"/>
        <v>2.04</v>
      </c>
      <c r="R370" s="269">
        <f ca="1" t="shared" si="133"/>
        <v>0.622473760080659</v>
      </c>
      <c r="S370" s="266">
        <f ca="1" t="shared" si="134"/>
        <v>58.478225634416</v>
      </c>
      <c r="T370" s="226">
        <f ca="1">(1+OFFSET('玩法产出(新)'!$C$18,MATCH(X370,'玩法产出(新)'!$B$19:$B$25,0),1)*(1-V370)+OFFSET('玩法产出(新)'!$C$18,1+MATCH(X370,'玩法产出(新)'!$B$19:$B$25,0),1)*(V370))^AA370*(1+OFFSET('玩法产出(新)'!$C$18,MATCH(X370,'玩法产出(新)'!$B$19:$B$25,0),3)*(1-V370)+OFFSET('玩法产出(新)'!$C$18,1+MATCH(X370,'玩法产出(新)'!$B$19:$B$25,0),3)*(V370))^AB370*(1+OFFSET('玩法产出(新)'!$C$18,MATCH(X370,'玩法产出(新)'!$B$19:$B$25,0),4)*(1-V370)+OFFSET('玩法产出(新)'!$C$18,1+MATCH(X370,'玩法产出(新)'!$B$19:$B$25,0),4)*(V370))^AC370*(1+OFFSET('玩法产出(新)'!$C$18,MATCH(X370,'玩法产出(新)'!$B$19:$B$25,0),5)*(1+V370)+OFFSET('玩法产出(新)'!$C$18,1+MATCH(X370,'玩法产出(新)'!$B$19:$B$25,5),1)*(V370))^AD370*(1+OFFSET('玩法产出(新)'!$C$18,MATCH(X370,'玩法产出(新)'!$B$19:$B$25,0),6)*(1+V370)+OFFSET('玩法产出(新)'!$C$18,1+MATCH(X370,'玩法产出(新)'!$B$19:$B$25,0),6)*(V370))^AE370</f>
        <v>52.2770631392799</v>
      </c>
      <c r="U370" s="226">
        <f ca="1" t="shared" si="153"/>
        <v>0.116060027428762</v>
      </c>
      <c r="V370" s="226">
        <f ca="1">COUNTIF($X$124:$X370,X370)/(COUNTIF($X$124:$X$723,X370)+1)</f>
        <v>0.270103092783505</v>
      </c>
      <c r="W370" s="19">
        <v>30</v>
      </c>
      <c r="X370" s="19" t="s">
        <v>326</v>
      </c>
      <c r="Y370" s="19">
        <f t="shared" si="159"/>
        <v>25860</v>
      </c>
      <c r="Z370" s="19">
        <f ca="1" t="shared" si="135"/>
        <v>0.865876026030928</v>
      </c>
      <c r="AA370" s="282">
        <f ca="1" t="shared" si="136"/>
        <v>5.069409375</v>
      </c>
      <c r="AB370" s="282">
        <f ca="1" t="shared" si="137"/>
        <v>18</v>
      </c>
      <c r="AC370" s="282">
        <f ca="1" t="shared" si="138"/>
        <v>5.28045</v>
      </c>
      <c r="AD370" s="282">
        <f ca="1" t="shared" si="139"/>
        <v>1.3201125</v>
      </c>
      <c r="AE370" s="282">
        <f ca="1" t="shared" si="140"/>
        <v>0.330028125</v>
      </c>
      <c r="AF370" s="19" t="str">
        <f t="shared" si="141"/>
        <v>彩1</v>
      </c>
      <c r="AG370" s="19">
        <f>IFERROR(_xlfn.XLOOKUP(C370+1,[2]基因升级!$E$141:$E$500,[2]基因升级!$D$141:$D$500)-1,AG369)</f>
        <v>94</v>
      </c>
      <c r="AH370" s="19">
        <v>7</v>
      </c>
      <c r="AI370" s="19">
        <f t="shared" si="142"/>
        <v>9.2039189417803</v>
      </c>
      <c r="AJ370" s="19">
        <f t="shared" si="154"/>
        <v>0</v>
      </c>
      <c r="AK370" s="269">
        <v>1.864</v>
      </c>
      <c r="AL370" s="287">
        <f t="shared" si="162"/>
        <v>11.5199999999999</v>
      </c>
      <c r="AM370" s="287">
        <f t="shared" si="163"/>
        <v>7.92</v>
      </c>
      <c r="AN370" s="287">
        <f t="shared" si="164"/>
        <v>3.6</v>
      </c>
      <c r="AO370" s="293"/>
      <c r="AQ370" s="19">
        <f t="shared" si="143"/>
        <v>2.18022401439476</v>
      </c>
      <c r="AR370" s="19">
        <f t="shared" si="144"/>
        <v>1.70891129115296</v>
      </c>
      <c r="AS370" s="19">
        <f t="shared" si="145"/>
        <v>1.27579706780673</v>
      </c>
      <c r="AT370" s="19">
        <f t="shared" si="146"/>
        <v>1</v>
      </c>
      <c r="AU370" s="19">
        <f t="shared" si="147"/>
        <v>1</v>
      </c>
      <c r="AV370" s="232">
        <f t="shared" si="127"/>
        <v>0.0399999999999991</v>
      </c>
      <c r="AW370" s="232">
        <f t="shared" si="128"/>
        <v>0.04</v>
      </c>
      <c r="AX370" s="232">
        <f t="shared" si="129"/>
        <v>0.2</v>
      </c>
      <c r="AY370" s="232">
        <f t="shared" si="130"/>
        <v>0</v>
      </c>
      <c r="AZ370" s="232">
        <f t="shared" si="131"/>
        <v>0</v>
      </c>
    </row>
    <row r="371" spans="1:52">
      <c r="A371" s="269"/>
      <c r="C371" s="19">
        <v>248</v>
      </c>
      <c r="D371" s="86">
        <f ca="1" t="shared" si="155"/>
        <v>193.105544209891</v>
      </c>
      <c r="E371" s="251">
        <f ca="1" t="shared" si="132"/>
        <v>0.3504032856571</v>
      </c>
      <c r="F371" s="269">
        <f ca="1" t="shared" si="148"/>
        <v>374.790604100893</v>
      </c>
      <c r="G371" s="283">
        <f ca="1" t="shared" si="149"/>
        <v>131.327859110362</v>
      </c>
      <c r="H371" s="279">
        <f ca="1" t="shared" si="150"/>
        <v>0.234196175925263</v>
      </c>
      <c r="I371" s="269">
        <f ca="1">SUM($J$125:J371)/SUM($H$125:H371)</f>
        <v>0.552437487825344</v>
      </c>
      <c r="J371" s="284">
        <f t="shared" si="156"/>
        <v>0.0899991639329301</v>
      </c>
      <c r="K371" s="19">
        <f t="shared" si="158"/>
        <v>25700</v>
      </c>
      <c r="L371" s="269">
        <f t="shared" si="151"/>
        <v>2.28499999999997</v>
      </c>
      <c r="M371" s="226">
        <f ca="1" t="shared" si="152"/>
        <v>54.384</v>
      </c>
      <c r="N371" s="280">
        <f ca="1" t="shared" si="157"/>
        <v>0.144197011992354</v>
      </c>
      <c r="O371" s="226">
        <f t="shared" si="161"/>
        <v>26.4</v>
      </c>
      <c r="P371" s="19">
        <f ca="1" t="shared" si="126"/>
        <v>11.6</v>
      </c>
      <c r="Q371" s="226">
        <f ca="1" t="shared" si="160"/>
        <v>2.06</v>
      </c>
      <c r="R371" s="269">
        <f ca="1" t="shared" si="133"/>
        <v>0.62371073120552</v>
      </c>
      <c r="S371" s="266">
        <f ca="1" t="shared" si="134"/>
        <v>58.5944327441478</v>
      </c>
      <c r="T371" s="226">
        <f ca="1">(1+OFFSET('玩法产出(新)'!$C$18,MATCH(X371,'玩法产出(新)'!$B$19:$B$25,0),1)*(1-V371)+OFFSET('玩法产出(新)'!$C$18,1+MATCH(X371,'玩法产出(新)'!$B$19:$B$25,0),1)*(V371))^AA371*(1+OFFSET('玩法产出(新)'!$C$18,MATCH(X371,'玩法产出(新)'!$B$19:$B$25,0),3)*(1-V371)+OFFSET('玩法产出(新)'!$C$18,1+MATCH(X371,'玩法产出(新)'!$B$19:$B$25,0),3)*(V371))^AB371*(1+OFFSET('玩法产出(新)'!$C$18,MATCH(X371,'玩法产出(新)'!$B$19:$B$25,0),4)*(1-V371)+OFFSET('玩法产出(新)'!$C$18,1+MATCH(X371,'玩法产出(新)'!$B$19:$B$25,0),4)*(V371))^AC371*(1+OFFSET('玩法产出(新)'!$C$18,MATCH(X371,'玩法产出(新)'!$B$19:$B$25,0),5)*(1+V371)+OFFSET('玩法产出(新)'!$C$18,1+MATCH(X371,'玩法产出(新)'!$B$19:$B$25,5),1)*(V371))^AD371*(1+OFFSET('玩法产出(新)'!$C$18,MATCH(X371,'玩法产出(新)'!$B$19:$B$25,0),6)*(1+V371)+OFFSET('玩法产出(新)'!$C$18,1+MATCH(X371,'玩法产出(新)'!$B$19:$B$25,0),6)*(V371))^AE371</f>
        <v>52.6897072202762</v>
      </c>
      <c r="U371" s="226">
        <f ca="1" t="shared" si="153"/>
        <v>0.116207109731816</v>
      </c>
      <c r="V371" s="226">
        <f ca="1">COUNTIF($X$124:$X371,X371)/(COUNTIF($X$124:$X$723,X371)+1)</f>
        <v>0.272164948453608</v>
      </c>
      <c r="W371" s="19">
        <v>30</v>
      </c>
      <c r="X371" s="19" t="s">
        <v>326</v>
      </c>
      <c r="Y371" s="19">
        <f t="shared" si="159"/>
        <v>25960</v>
      </c>
      <c r="Z371" s="19">
        <f ca="1" t="shared" si="135"/>
        <v>0.861617703092783</v>
      </c>
      <c r="AA371" s="282">
        <f ca="1" t="shared" si="136"/>
        <v>5.04204375</v>
      </c>
      <c r="AB371" s="282">
        <f ca="1" t="shared" si="137"/>
        <v>18</v>
      </c>
      <c r="AC371" s="282">
        <f ca="1" t="shared" si="138"/>
        <v>5.3013</v>
      </c>
      <c r="AD371" s="282">
        <f ca="1" t="shared" si="139"/>
        <v>1.325325</v>
      </c>
      <c r="AE371" s="282">
        <f ca="1" t="shared" si="140"/>
        <v>0.33133125</v>
      </c>
      <c r="AF371" s="19" t="str">
        <f t="shared" si="141"/>
        <v>彩1</v>
      </c>
      <c r="AG371" s="19">
        <f>IFERROR(_xlfn.XLOOKUP(C371+1,[2]基因升级!$E$141:$E$500,[2]基因升级!$D$141:$D$500)-1,AG370)</f>
        <v>94</v>
      </c>
      <c r="AH371" s="19">
        <v>7</v>
      </c>
      <c r="AI371" s="19">
        <f t="shared" si="142"/>
        <v>9.2039189417803</v>
      </c>
      <c r="AJ371" s="19">
        <f t="shared" si="154"/>
        <v>0</v>
      </c>
      <c r="AK371" s="269">
        <v>1.864</v>
      </c>
      <c r="AL371" s="287">
        <f t="shared" si="162"/>
        <v>11.5599999999999</v>
      </c>
      <c r="AM371" s="287">
        <f t="shared" si="163"/>
        <v>7.96</v>
      </c>
      <c r="AN371" s="287">
        <f t="shared" si="164"/>
        <v>3.8</v>
      </c>
      <c r="AO371" s="293"/>
      <c r="AQ371" s="19">
        <f t="shared" si="143"/>
        <v>2.18613244632624</v>
      </c>
      <c r="AR371" s="19">
        <f t="shared" si="144"/>
        <v>1.71354246023194</v>
      </c>
      <c r="AS371" s="19">
        <f t="shared" si="145"/>
        <v>1.29317814165364</v>
      </c>
      <c r="AT371" s="19">
        <f t="shared" si="146"/>
        <v>1</v>
      </c>
      <c r="AU371" s="19">
        <f t="shared" si="147"/>
        <v>1</v>
      </c>
      <c r="AV371" s="232">
        <f t="shared" si="127"/>
        <v>0.0399999999999991</v>
      </c>
      <c r="AW371" s="232">
        <f t="shared" si="128"/>
        <v>0.04</v>
      </c>
      <c r="AX371" s="232">
        <f t="shared" si="129"/>
        <v>0.2</v>
      </c>
      <c r="AY371" s="232">
        <f t="shared" si="130"/>
        <v>0</v>
      </c>
      <c r="AZ371" s="232">
        <f t="shared" si="131"/>
        <v>0</v>
      </c>
    </row>
    <row r="372" spans="1:52">
      <c r="A372" s="269"/>
      <c r="C372" s="19">
        <v>249</v>
      </c>
      <c r="D372" s="86">
        <f ca="1" t="shared" si="155"/>
        <v>193.454406711761</v>
      </c>
      <c r="E372" s="251">
        <f ca="1" t="shared" si="132"/>
        <v>0.348862501869929</v>
      </c>
      <c r="F372" s="269">
        <f ca="1" t="shared" si="148"/>
        <v>377.112377529847</v>
      </c>
      <c r="G372" s="283">
        <f ca="1" t="shared" si="149"/>
        <v>131.56036751118</v>
      </c>
      <c r="H372" s="279">
        <f ca="1" t="shared" si="150"/>
        <v>0.232508400817437</v>
      </c>
      <c r="I372" s="269">
        <f ca="1">SUM($J$125:J372)/SUM($H$125:H372)</f>
        <v>0.552118784129508</v>
      </c>
      <c r="J372" s="284">
        <f t="shared" si="156"/>
        <v>0.0897046184528278</v>
      </c>
      <c r="K372" s="19">
        <f t="shared" si="158"/>
        <v>25800</v>
      </c>
      <c r="L372" s="269">
        <f t="shared" si="151"/>
        <v>2.28999999999997</v>
      </c>
      <c r="M372" s="226">
        <f ca="1" t="shared" si="152"/>
        <v>54.912</v>
      </c>
      <c r="N372" s="280">
        <f ca="1" t="shared" si="157"/>
        <v>0.142803782364581</v>
      </c>
      <c r="O372" s="226">
        <f t="shared" si="161"/>
        <v>26.4</v>
      </c>
      <c r="P372" s="19">
        <f ca="1" t="shared" si="126"/>
        <v>11.8</v>
      </c>
      <c r="Q372" s="226">
        <f ca="1" t="shared" si="160"/>
        <v>2.08</v>
      </c>
      <c r="R372" s="269">
        <f ca="1" t="shared" si="133"/>
        <v>0.624949266985243</v>
      </c>
      <c r="S372" s="266">
        <f ca="1" t="shared" si="134"/>
        <v>58.7107868452003</v>
      </c>
      <c r="T372" s="226">
        <f ca="1">(1+OFFSET('玩法产出(新)'!$C$18,MATCH(X372,'玩法产出(新)'!$B$19:$B$25,0),1)*(1-V372)+OFFSET('玩法产出(新)'!$C$18,1+MATCH(X372,'玩法产出(新)'!$B$19:$B$25,0),1)*(V372))^AA372*(1+OFFSET('玩法产出(新)'!$C$18,MATCH(X372,'玩法产出(新)'!$B$19:$B$25,0),3)*(1-V372)+OFFSET('玩法产出(新)'!$C$18,1+MATCH(X372,'玩法产出(新)'!$B$19:$B$25,0),3)*(V372))^AB372*(1+OFFSET('玩法产出(新)'!$C$18,MATCH(X372,'玩法产出(新)'!$B$19:$B$25,0),4)*(1-V372)+OFFSET('玩法产出(新)'!$C$18,1+MATCH(X372,'玩法产出(新)'!$B$19:$B$25,0),4)*(V372))^AC372*(1+OFFSET('玩法产出(新)'!$C$18,MATCH(X372,'玩法产出(新)'!$B$19:$B$25,0),5)*(1+V372)+OFFSET('玩法产出(新)'!$C$18,1+MATCH(X372,'玩法产出(新)'!$B$19:$B$25,5),1)*(V372))^AD372*(1+OFFSET('玩法产出(新)'!$C$18,MATCH(X372,'玩法产出(新)'!$B$19:$B$25,0),6)*(1+V372)+OFFSET('玩法产出(新)'!$C$18,1+MATCH(X372,'玩法产出(新)'!$B$19:$B$25,0),6)*(V372))^AE372</f>
        <v>53.106136618849</v>
      </c>
      <c r="U372" s="226">
        <f ca="1" t="shared" si="153"/>
        <v>0.116354101052521</v>
      </c>
      <c r="V372" s="226">
        <f ca="1">COUNTIF($X$124:$X372,X372)/(COUNTIF($X$124:$X$723,X372)+1)</f>
        <v>0.274226804123711</v>
      </c>
      <c r="W372" s="19">
        <v>30</v>
      </c>
      <c r="X372" s="19" t="s">
        <v>326</v>
      </c>
      <c r="Y372" s="19">
        <f t="shared" si="159"/>
        <v>26060</v>
      </c>
      <c r="Z372" s="19">
        <f ca="1" t="shared" si="135"/>
        <v>0.857354866237113</v>
      </c>
      <c r="AA372" s="282">
        <f ca="1" t="shared" si="136"/>
        <v>5.014678125</v>
      </c>
      <c r="AB372" s="282">
        <f ca="1" t="shared" si="137"/>
        <v>18</v>
      </c>
      <c r="AC372" s="282">
        <f ca="1" t="shared" si="138"/>
        <v>5.32215</v>
      </c>
      <c r="AD372" s="282">
        <f ca="1" t="shared" si="139"/>
        <v>1.3305375</v>
      </c>
      <c r="AE372" s="282">
        <f ca="1" t="shared" si="140"/>
        <v>0.332634375</v>
      </c>
      <c r="AF372" s="19" t="str">
        <f t="shared" si="141"/>
        <v>彩1</v>
      </c>
      <c r="AG372" s="19">
        <f>IFERROR(_xlfn.XLOOKUP(C372+1,[2]基因升级!$E$141:$E$500,[2]基因升级!$D$141:$D$500)-1,AG371)</f>
        <v>95</v>
      </c>
      <c r="AH372" s="19">
        <v>7</v>
      </c>
      <c r="AI372" s="19">
        <f t="shared" si="142"/>
        <v>9.2039189417803</v>
      </c>
      <c r="AJ372" s="19">
        <f t="shared" si="154"/>
        <v>0</v>
      </c>
      <c r="AK372" s="269">
        <v>1.864</v>
      </c>
      <c r="AL372" s="287">
        <f t="shared" si="162"/>
        <v>11.5999999999999</v>
      </c>
      <c r="AM372" s="287">
        <f t="shared" si="163"/>
        <v>8</v>
      </c>
      <c r="AN372" s="287">
        <f t="shared" si="164"/>
        <v>4</v>
      </c>
      <c r="AO372" s="293"/>
      <c r="AQ372" s="19">
        <f t="shared" si="143"/>
        <v>2.19205689017561</v>
      </c>
      <c r="AR372" s="19">
        <f t="shared" si="144"/>
        <v>1.71818617983192</v>
      </c>
      <c r="AS372" s="19">
        <f t="shared" si="145"/>
        <v>1.31079601</v>
      </c>
      <c r="AT372" s="19">
        <f t="shared" si="146"/>
        <v>1</v>
      </c>
      <c r="AU372" s="19">
        <f t="shared" si="147"/>
        <v>1</v>
      </c>
      <c r="AV372" s="232">
        <f t="shared" si="127"/>
        <v>0.0399999999999991</v>
      </c>
      <c r="AW372" s="232">
        <f t="shared" si="128"/>
        <v>0.04</v>
      </c>
      <c r="AX372" s="232">
        <f t="shared" si="129"/>
        <v>0.2</v>
      </c>
      <c r="AY372" s="232">
        <f t="shared" si="130"/>
        <v>0</v>
      </c>
      <c r="AZ372" s="232">
        <f t="shared" si="131"/>
        <v>0</v>
      </c>
    </row>
    <row r="373" spans="1:52">
      <c r="A373" s="269"/>
      <c r="C373" s="19">
        <v>250</v>
      </c>
      <c r="D373" s="86">
        <f ca="1" t="shared" si="155"/>
        <v>193.801757044333</v>
      </c>
      <c r="E373" s="251">
        <f ca="1" t="shared" si="132"/>
        <v>0.347350332571951</v>
      </c>
      <c r="F373" s="269">
        <f ca="1" t="shared" si="148"/>
        <v>379.418715008535</v>
      </c>
      <c r="G373" s="283">
        <f ca="1" t="shared" si="149"/>
        <v>131.791216842237</v>
      </c>
      <c r="H373" s="279">
        <f ca="1" t="shared" si="150"/>
        <v>0.230849331057442</v>
      </c>
      <c r="I373" s="269">
        <f ca="1">SUM($J$125:J373)/SUM($H$125:H373)</f>
        <v>0.551806412351439</v>
      </c>
      <c r="J373" s="284">
        <f t="shared" si="156"/>
        <v>0.0894121130223624</v>
      </c>
      <c r="K373" s="19">
        <f t="shared" si="158"/>
        <v>25900</v>
      </c>
      <c r="L373" s="269">
        <f t="shared" si="151"/>
        <v>2.29499999999997</v>
      </c>
      <c r="M373" s="226">
        <f ca="1" t="shared" si="152"/>
        <v>55.44</v>
      </c>
      <c r="N373" s="280">
        <f ca="1" t="shared" si="157"/>
        <v>0.141437218035108</v>
      </c>
      <c r="O373" s="226">
        <f t="shared" si="161"/>
        <v>26.4</v>
      </c>
      <c r="P373" s="19">
        <f ca="1" t="shared" si="126"/>
        <v>12</v>
      </c>
      <c r="Q373" s="226">
        <f ca="1" t="shared" si="160"/>
        <v>2.1</v>
      </c>
      <c r="R373" s="269">
        <f ca="1" t="shared" si="133"/>
        <v>0.62618936645268</v>
      </c>
      <c r="S373" s="266">
        <f ca="1" t="shared" si="134"/>
        <v>58.8272878467148</v>
      </c>
      <c r="T373" s="226">
        <f ca="1">(1+OFFSET('玩法产出(新)'!$C$18,MATCH(X373,'玩法产出(新)'!$B$19:$B$25,0),1)*(1-V373)+OFFSET('玩法产出(新)'!$C$18,1+MATCH(X373,'玩法产出(新)'!$B$19:$B$25,0),1)*(V373))^AA373*(1+OFFSET('玩法产出(新)'!$C$18,MATCH(X373,'玩法产出(新)'!$B$19:$B$25,0),3)*(1-V373)+OFFSET('玩法产出(新)'!$C$18,1+MATCH(X373,'玩法产出(新)'!$B$19:$B$25,0),3)*(V373))^AB373*(1+OFFSET('玩法产出(新)'!$C$18,MATCH(X373,'玩法产出(新)'!$B$19:$B$25,0),4)*(1-V373)+OFFSET('玩法产出(新)'!$C$18,1+MATCH(X373,'玩法产出(新)'!$B$19:$B$25,0),4)*(V373))^AC373*(1+OFFSET('玩法产出(新)'!$C$18,MATCH(X373,'玩法产出(新)'!$B$19:$B$25,0),5)*(1+V373)+OFFSET('玩法产出(新)'!$C$18,1+MATCH(X373,'玩法产出(新)'!$B$19:$B$25,5),1)*(V373))^AD373*(1+OFFSET('玩法产出(新)'!$C$18,MATCH(X373,'玩法产出(新)'!$B$19:$B$25,0),6)*(1+V373)+OFFSET('玩法产出(新)'!$C$18,1+MATCH(X373,'玩法产出(新)'!$B$19:$B$25,0),6)*(V373))^AE373</f>
        <v>53.526389238692</v>
      </c>
      <c r="U373" s="226">
        <f ca="1" t="shared" si="153"/>
        <v>0.116501001514481</v>
      </c>
      <c r="V373" s="226">
        <f ca="1">COUNTIF($X$124:$X373,X373)/(COUNTIF($X$124:$X$723,X373)+1)</f>
        <v>0.276288659793814</v>
      </c>
      <c r="W373" s="19">
        <v>30</v>
      </c>
      <c r="X373" s="19" t="s">
        <v>326</v>
      </c>
      <c r="Y373" s="19">
        <f t="shared" si="159"/>
        <v>26160</v>
      </c>
      <c r="Z373" s="19">
        <f ca="1" t="shared" si="135"/>
        <v>0.853087515463917</v>
      </c>
      <c r="AA373" s="282">
        <f ca="1" t="shared" si="136"/>
        <v>4.9873125</v>
      </c>
      <c r="AB373" s="282">
        <f ca="1" t="shared" si="137"/>
        <v>18</v>
      </c>
      <c r="AC373" s="282">
        <f ca="1" t="shared" si="138"/>
        <v>5.343</v>
      </c>
      <c r="AD373" s="282">
        <f ca="1" t="shared" si="139"/>
        <v>1.33575</v>
      </c>
      <c r="AE373" s="282">
        <f ca="1" t="shared" si="140"/>
        <v>0.3339375</v>
      </c>
      <c r="AF373" s="19" t="str">
        <f t="shared" si="141"/>
        <v>彩1</v>
      </c>
      <c r="AG373" s="19">
        <f>IFERROR(_xlfn.XLOOKUP(C373+1,[2]基因升级!$E$141:$E$500,[2]基因升级!$D$141:$D$500)-1,AG372)</f>
        <v>95</v>
      </c>
      <c r="AH373" s="19">
        <v>7</v>
      </c>
      <c r="AI373" s="19">
        <f t="shared" si="142"/>
        <v>9.2039189417803</v>
      </c>
      <c r="AJ373" s="19">
        <f t="shared" si="154"/>
        <v>0</v>
      </c>
      <c r="AK373" s="269">
        <v>1.864</v>
      </c>
      <c r="AL373" s="287">
        <f t="shared" si="162"/>
        <v>11.6399999999999</v>
      </c>
      <c r="AM373" s="287">
        <f t="shared" si="163"/>
        <v>8.04</v>
      </c>
      <c r="AN373" s="287">
        <f t="shared" si="164"/>
        <v>4.1</v>
      </c>
      <c r="AO373" s="293"/>
      <c r="AQ373" s="19">
        <f t="shared" si="143"/>
        <v>2.19799738933534</v>
      </c>
      <c r="AR373" s="19">
        <f t="shared" si="144"/>
        <v>1.72284248396495</v>
      </c>
      <c r="AS373" s="19">
        <f t="shared" si="145"/>
        <v>1.31969474853087</v>
      </c>
      <c r="AT373" s="19">
        <f t="shared" si="146"/>
        <v>1</v>
      </c>
      <c r="AU373" s="19">
        <f t="shared" si="147"/>
        <v>1</v>
      </c>
      <c r="AV373" s="232">
        <f t="shared" si="127"/>
        <v>0.0399999999999991</v>
      </c>
      <c r="AW373" s="232">
        <f t="shared" si="128"/>
        <v>0.04</v>
      </c>
      <c r="AX373" s="232">
        <f t="shared" si="129"/>
        <v>0.0999999999999996</v>
      </c>
      <c r="AY373" s="232">
        <f t="shared" si="130"/>
        <v>0</v>
      </c>
      <c r="AZ373" s="232">
        <f t="shared" si="131"/>
        <v>0</v>
      </c>
    </row>
    <row r="374" spans="1:52">
      <c r="A374" s="269"/>
      <c r="C374" s="19">
        <v>251</v>
      </c>
      <c r="D374" s="86">
        <f ca="1" t="shared" si="155"/>
        <v>194.147623041909</v>
      </c>
      <c r="E374" s="251">
        <f ca="1" t="shared" si="132"/>
        <v>0.345865997576864</v>
      </c>
      <c r="F374" s="269">
        <f ca="1" t="shared" si="148"/>
        <v>381.709783423372</v>
      </c>
      <c r="G374" s="283">
        <f ca="1" t="shared" si="149"/>
        <v>132.020435028573</v>
      </c>
      <c r="H374" s="279">
        <f ca="1" t="shared" si="150"/>
        <v>0.229218186336226</v>
      </c>
      <c r="I374" s="269">
        <f ca="1">SUM($J$125:J374)/SUM($H$125:H374)</f>
        <v>0.551500214136125</v>
      </c>
      <c r="J374" s="284">
        <f t="shared" si="156"/>
        <v>0.0891216256103462</v>
      </c>
      <c r="K374" s="19">
        <f t="shared" si="158"/>
        <v>26000</v>
      </c>
      <c r="L374" s="269">
        <f t="shared" si="151"/>
        <v>2.29999999999997</v>
      </c>
      <c r="M374" s="226">
        <f ca="1" t="shared" si="152"/>
        <v>55.968</v>
      </c>
      <c r="N374" s="280">
        <f ca="1" t="shared" si="157"/>
        <v>0.140096560725887</v>
      </c>
      <c r="O374" s="226">
        <f t="shared" si="161"/>
        <v>26.4</v>
      </c>
      <c r="P374" s="19">
        <f ca="1" t="shared" si="126"/>
        <v>12.2</v>
      </c>
      <c r="Q374" s="226">
        <f ca="1" t="shared" si="160"/>
        <v>2.12</v>
      </c>
      <c r="R374" s="269">
        <f ca="1" t="shared" si="133"/>
        <v>0.627431028641989</v>
      </c>
      <c r="S374" s="266">
        <f ca="1" t="shared" si="134"/>
        <v>58.9439356579554</v>
      </c>
      <c r="T374" s="226">
        <f ca="1">(1+OFFSET('玩法产出(新)'!$C$18,MATCH(X374,'玩法产出(新)'!$B$19:$B$25,0),1)*(1-V374)+OFFSET('玩法产出(新)'!$C$18,1+MATCH(X374,'玩法产出(新)'!$B$19:$B$25,0),1)*(V374))^AA374*(1+OFFSET('玩法产出(新)'!$C$18,MATCH(X374,'玩法产出(新)'!$B$19:$B$25,0),3)*(1-V374)+OFFSET('玩法产出(新)'!$C$18,1+MATCH(X374,'玩法产出(新)'!$B$19:$B$25,0),3)*(V374))^AB374*(1+OFFSET('玩法产出(新)'!$C$18,MATCH(X374,'玩法产出(新)'!$B$19:$B$25,0),4)*(1-V374)+OFFSET('玩法产出(新)'!$C$18,1+MATCH(X374,'玩法产出(新)'!$B$19:$B$25,0),4)*(V374))^AC374*(1+OFFSET('玩法产出(新)'!$C$18,MATCH(X374,'玩法产出(新)'!$B$19:$B$25,0),5)*(1+V374)+OFFSET('玩法产出(新)'!$C$18,1+MATCH(X374,'玩法产出(新)'!$B$19:$B$25,5),1)*(V374))^AD374*(1+OFFSET('玩法产出(新)'!$C$18,MATCH(X374,'玩法产出(新)'!$B$19:$B$25,0),6)*(1+V374)+OFFSET('玩法产出(新)'!$C$18,1+MATCH(X374,'玩法产出(新)'!$B$19:$B$25,0),6)*(V374))^AE374</f>
        <v>53.95050339041</v>
      </c>
      <c r="U374" s="226">
        <f ca="1" t="shared" si="153"/>
        <v>0.116647811240631</v>
      </c>
      <c r="V374" s="226">
        <f ca="1">COUNTIF($X$124:$X374,X374)/(COUNTIF($X$124:$X$723,X374)+1)</f>
        <v>0.278350515463918</v>
      </c>
      <c r="W374" s="19">
        <v>30</v>
      </c>
      <c r="X374" s="19" t="s">
        <v>326</v>
      </c>
      <c r="Y374" s="19">
        <f t="shared" si="159"/>
        <v>26260</v>
      </c>
      <c r="Z374" s="19">
        <f ca="1" t="shared" si="135"/>
        <v>0.848815650773196</v>
      </c>
      <c r="AA374" s="282">
        <f ca="1" t="shared" si="136"/>
        <v>4.959946875</v>
      </c>
      <c r="AB374" s="282">
        <f ca="1" t="shared" si="137"/>
        <v>18</v>
      </c>
      <c r="AC374" s="282">
        <f ca="1" t="shared" si="138"/>
        <v>5.36385</v>
      </c>
      <c r="AD374" s="282">
        <f ca="1" t="shared" si="139"/>
        <v>1.3409625</v>
      </c>
      <c r="AE374" s="282">
        <f ca="1" t="shared" si="140"/>
        <v>0.335240625</v>
      </c>
      <c r="AF374" s="19" t="str">
        <f t="shared" si="141"/>
        <v>彩1</v>
      </c>
      <c r="AG374" s="19">
        <f>IFERROR(_xlfn.XLOOKUP(C374+1,[2]基因升级!$E$141:$E$500,[2]基因升级!$D$141:$D$500)-1,AG373)</f>
        <v>95</v>
      </c>
      <c r="AH374" s="19">
        <v>7</v>
      </c>
      <c r="AI374" s="19">
        <f t="shared" si="142"/>
        <v>9.2039189417803</v>
      </c>
      <c r="AJ374" s="19">
        <f t="shared" si="154"/>
        <v>0</v>
      </c>
      <c r="AK374" s="269">
        <v>1.864</v>
      </c>
      <c r="AL374" s="287">
        <f t="shared" si="162"/>
        <v>11.6799999999999</v>
      </c>
      <c r="AM374" s="287">
        <f t="shared" si="163"/>
        <v>8.08</v>
      </c>
      <c r="AN374" s="287">
        <f t="shared" si="164"/>
        <v>4.2</v>
      </c>
      <c r="AO374" s="293"/>
      <c r="AQ374" s="19">
        <f t="shared" si="143"/>
        <v>2.20395398731551</v>
      </c>
      <c r="AR374" s="19">
        <f t="shared" si="144"/>
        <v>1.72751140673525</v>
      </c>
      <c r="AS374" s="19">
        <f t="shared" si="145"/>
        <v>1.32865389886254</v>
      </c>
      <c r="AT374" s="19">
        <f t="shared" si="146"/>
        <v>1</v>
      </c>
      <c r="AU374" s="19">
        <f t="shared" si="147"/>
        <v>1</v>
      </c>
      <c r="AV374" s="232">
        <f t="shared" si="127"/>
        <v>0.0399999999999991</v>
      </c>
      <c r="AW374" s="232">
        <f t="shared" si="128"/>
        <v>0.0399999999999991</v>
      </c>
      <c r="AX374" s="232">
        <f t="shared" si="129"/>
        <v>0.0999999999999996</v>
      </c>
      <c r="AY374" s="232">
        <f t="shared" si="130"/>
        <v>0</v>
      </c>
      <c r="AZ374" s="232">
        <f t="shared" si="131"/>
        <v>0</v>
      </c>
    </row>
    <row r="375" spans="1:52">
      <c r="A375" s="269"/>
      <c r="C375" s="19">
        <v>252</v>
      </c>
      <c r="D375" s="86">
        <f ca="1" t="shared" si="155"/>
        <v>194.492031787414</v>
      </c>
      <c r="E375" s="251">
        <f ca="1" t="shared" si="132"/>
        <v>0.344408745504388</v>
      </c>
      <c r="F375" s="269">
        <f ca="1" t="shared" si="148"/>
        <v>383.98574650027</v>
      </c>
      <c r="G375" s="283">
        <f ca="1" t="shared" si="149"/>
        <v>132.248049243724</v>
      </c>
      <c r="H375" s="279">
        <f ca="1" t="shared" si="150"/>
        <v>0.227614215150538</v>
      </c>
      <c r="I375" s="269">
        <f ca="1">SUM($J$125:J375)/SUM($H$125:H375)</f>
        <v>0.551200036308238</v>
      </c>
      <c r="J375" s="284">
        <f t="shared" si="156"/>
        <v>0.0888331345105087</v>
      </c>
      <c r="K375" s="19">
        <f t="shared" si="158"/>
        <v>26100</v>
      </c>
      <c r="L375" s="269">
        <f t="shared" si="151"/>
        <v>2.30499999999997</v>
      </c>
      <c r="M375" s="226">
        <f ca="1" t="shared" si="152"/>
        <v>56.496</v>
      </c>
      <c r="N375" s="280">
        <f ca="1" t="shared" si="157"/>
        <v>0.138781080640008</v>
      </c>
      <c r="O375" s="226">
        <f t="shared" si="161"/>
        <v>26.4</v>
      </c>
      <c r="P375" s="19">
        <f ca="1" t="shared" ref="P375:P438" si="165">IF(O375=O374,P374+OFFSET($H$75,MATCH(P374,$G$76:$G$84,1),0),10)</f>
        <v>12.4</v>
      </c>
      <c r="Q375" s="226">
        <f ca="1" t="shared" si="160"/>
        <v>2.14</v>
      </c>
      <c r="R375" s="269">
        <f ca="1" t="shared" si="133"/>
        <v>0.628674252588638</v>
      </c>
      <c r="S375" s="266">
        <f ca="1" t="shared" si="134"/>
        <v>59.0607301883093</v>
      </c>
      <c r="T375" s="226">
        <f ca="1">(1+OFFSET('玩法产出(新)'!$C$18,MATCH(X375,'玩法产出(新)'!$B$19:$B$25,0),1)*(1-V375)+OFFSET('玩法产出(新)'!$C$18,1+MATCH(X375,'玩法产出(新)'!$B$19:$B$25,0),1)*(V375))^AA375*(1+OFFSET('玩法产出(新)'!$C$18,MATCH(X375,'玩法产出(新)'!$B$19:$B$25,0),3)*(1-V375)+OFFSET('玩法产出(新)'!$C$18,1+MATCH(X375,'玩法产出(新)'!$B$19:$B$25,0),3)*(V375))^AB375*(1+OFFSET('玩法产出(新)'!$C$18,MATCH(X375,'玩法产出(新)'!$B$19:$B$25,0),4)*(1-V375)+OFFSET('玩法产出(新)'!$C$18,1+MATCH(X375,'玩法产出(新)'!$B$19:$B$25,0),4)*(V375))^AC375*(1+OFFSET('玩法产出(新)'!$C$18,MATCH(X375,'玩法产出(新)'!$B$19:$B$25,0),5)*(1+V375)+OFFSET('玩法产出(新)'!$C$18,1+MATCH(X375,'玩法产出(新)'!$B$19:$B$25,5),1)*(V375))^AD375*(1+OFFSET('玩法产出(新)'!$C$18,MATCH(X375,'玩法产出(新)'!$B$19:$B$25,0),6)*(1+V375)+OFFSET('玩法产出(新)'!$C$18,1+MATCH(X375,'玩法产出(新)'!$B$19:$B$25,0),6)*(V375))^AE375</f>
        <v>54.3785177961404</v>
      </c>
      <c r="U375" s="226">
        <f ca="1" t="shared" si="153"/>
        <v>0.116794530353871</v>
      </c>
      <c r="V375" s="226">
        <f ca="1">COUNTIF($X$124:$X375,X375)/(COUNTIF($X$124:$X$723,X375)+1)</f>
        <v>0.280412371134021</v>
      </c>
      <c r="W375" s="19">
        <v>30</v>
      </c>
      <c r="X375" s="19" t="s">
        <v>326</v>
      </c>
      <c r="Y375" s="19">
        <f t="shared" si="159"/>
        <v>26360</v>
      </c>
      <c r="Z375" s="19">
        <f ca="1" t="shared" si="135"/>
        <v>0.844539272164949</v>
      </c>
      <c r="AA375" s="282">
        <f ca="1" t="shared" si="136"/>
        <v>4.93258125</v>
      </c>
      <c r="AB375" s="282">
        <f ca="1" t="shared" si="137"/>
        <v>18</v>
      </c>
      <c r="AC375" s="282">
        <f ca="1" t="shared" si="138"/>
        <v>5.3847</v>
      </c>
      <c r="AD375" s="282">
        <f ca="1" t="shared" si="139"/>
        <v>1.346175</v>
      </c>
      <c r="AE375" s="282">
        <f ca="1" t="shared" si="140"/>
        <v>0.33654375</v>
      </c>
      <c r="AF375" s="19" t="str">
        <f t="shared" si="141"/>
        <v>彩1</v>
      </c>
      <c r="AG375" s="19">
        <f>IFERROR(_xlfn.XLOOKUP(C375+1,[2]基因升级!$E$141:$E$500,[2]基因升级!$D$141:$D$500)-1,AG374)</f>
        <v>95</v>
      </c>
      <c r="AH375" s="19">
        <v>7</v>
      </c>
      <c r="AI375" s="19">
        <f t="shared" si="142"/>
        <v>9.2039189417803</v>
      </c>
      <c r="AJ375" s="19">
        <f t="shared" si="154"/>
        <v>0</v>
      </c>
      <c r="AK375" s="269">
        <v>1.864</v>
      </c>
      <c r="AL375" s="287">
        <f t="shared" si="162"/>
        <v>11.7199999999999</v>
      </c>
      <c r="AM375" s="287">
        <f t="shared" si="163"/>
        <v>8.12</v>
      </c>
      <c r="AN375" s="287">
        <f t="shared" si="164"/>
        <v>4.3</v>
      </c>
      <c r="AO375" s="293"/>
      <c r="AQ375" s="19">
        <f t="shared" si="143"/>
        <v>2.2099267277441</v>
      </c>
      <c r="AR375" s="19">
        <f t="shared" si="144"/>
        <v>1.73219298233948</v>
      </c>
      <c r="AS375" s="19">
        <f t="shared" si="145"/>
        <v>1.33767387111894</v>
      </c>
      <c r="AT375" s="19">
        <f t="shared" si="146"/>
        <v>1</v>
      </c>
      <c r="AU375" s="19">
        <f t="shared" si="147"/>
        <v>1</v>
      </c>
      <c r="AV375" s="232">
        <f t="shared" ref="AV375:AV438" si="166">AL375-AL374</f>
        <v>0.0399999999999991</v>
      </c>
      <c r="AW375" s="232">
        <f t="shared" ref="AW375:AW438" si="167">AM375-AM374</f>
        <v>0.0399999999999991</v>
      </c>
      <c r="AX375" s="232">
        <f t="shared" ref="AX375:AX438" si="168">AN375-AN374</f>
        <v>0.0999999999999996</v>
      </c>
      <c r="AY375" s="232">
        <f t="shared" ref="AY375:AY438" si="169">AO375-AO374</f>
        <v>0</v>
      </c>
      <c r="AZ375" s="232">
        <f t="shared" ref="AZ375:AZ438" si="170">AP375-AP374</f>
        <v>0</v>
      </c>
    </row>
    <row r="376" spans="1:52">
      <c r="A376" s="269"/>
      <c r="C376" s="19">
        <v>253</v>
      </c>
      <c r="D376" s="86">
        <f ca="1" t="shared" si="155"/>
        <v>194.835009639863</v>
      </c>
      <c r="E376" s="251">
        <f ca="1" t="shared" si="132"/>
        <v>0.342977852448813</v>
      </c>
      <c r="F376" s="269">
        <f ca="1" t="shared" si="148"/>
        <v>386.246764889773</v>
      </c>
      <c r="G376" s="283">
        <f ca="1" t="shared" si="149"/>
        <v>132.474085937196</v>
      </c>
      <c r="H376" s="279">
        <f ca="1" t="shared" si="150"/>
        <v>0.226036693472025</v>
      </c>
      <c r="I376" s="269">
        <f ca="1">SUM($J$125:J376)/SUM($H$125:H376)</f>
        <v>0.550905730659515</v>
      </c>
      <c r="J376" s="284">
        <f t="shared" si="156"/>
        <v>0.0885466183353145</v>
      </c>
      <c r="K376" s="19">
        <f t="shared" si="158"/>
        <v>26200</v>
      </c>
      <c r="L376" s="269">
        <f t="shared" si="151"/>
        <v>2.30999999999997</v>
      </c>
      <c r="M376" s="226">
        <f ca="1" t="shared" si="152"/>
        <v>57.024</v>
      </c>
      <c r="N376" s="280">
        <f ca="1" t="shared" si="157"/>
        <v>0.137490075136725</v>
      </c>
      <c r="O376" s="226">
        <f t="shared" si="161"/>
        <v>26.4</v>
      </c>
      <c r="P376" s="19">
        <f ca="1" t="shared" si="165"/>
        <v>12.6</v>
      </c>
      <c r="Q376" s="226">
        <f ca="1" t="shared" si="160"/>
        <v>2.16</v>
      </c>
      <c r="R376" s="269">
        <f ca="1" t="shared" si="133"/>
        <v>0.629919037329398</v>
      </c>
      <c r="S376" s="266">
        <f ca="1" t="shared" si="134"/>
        <v>59.1776713472861</v>
      </c>
      <c r="T376" s="226">
        <f ca="1">(1+OFFSET('玩法产出(新)'!$C$18,MATCH(X376,'玩法产出(新)'!$B$19:$B$25,0),1)*(1-V376)+OFFSET('玩法产出(新)'!$C$18,1+MATCH(X376,'玩法产出(新)'!$B$19:$B$25,0),1)*(V376))^AA376*(1+OFFSET('玩法产出(新)'!$C$18,MATCH(X376,'玩法产出(新)'!$B$19:$B$25,0),3)*(1-V376)+OFFSET('玩法产出(新)'!$C$18,1+MATCH(X376,'玩法产出(新)'!$B$19:$B$25,0),3)*(V376))^AB376*(1+OFFSET('玩法产出(新)'!$C$18,MATCH(X376,'玩法产出(新)'!$B$19:$B$25,0),4)*(1-V376)+OFFSET('玩法产出(新)'!$C$18,1+MATCH(X376,'玩法产出(新)'!$B$19:$B$25,0),4)*(V376))^AC376*(1+OFFSET('玩法产出(新)'!$C$18,MATCH(X376,'玩法产出(新)'!$B$19:$B$25,0),5)*(1+V376)+OFFSET('玩法产出(新)'!$C$18,1+MATCH(X376,'玩法产出(新)'!$B$19:$B$25,5),1)*(V376))^AD376*(1+OFFSET('玩法产出(新)'!$C$18,MATCH(X376,'玩法产出(新)'!$B$19:$B$25,0),6)*(1+V376)+OFFSET('玩法产出(新)'!$C$18,1+MATCH(X376,'玩法产出(新)'!$B$19:$B$25,0),6)*(V376))^AE376</f>
        <v>54.8104715942268</v>
      </c>
      <c r="U376" s="226">
        <f ca="1" t="shared" si="153"/>
        <v>0.116941158976773</v>
      </c>
      <c r="V376" s="226">
        <f ca="1">COUNTIF($X$124:$X376,X376)/(COUNTIF($X$124:$X$723,X376)+1)</f>
        <v>0.282474226804124</v>
      </c>
      <c r="W376" s="19">
        <v>30</v>
      </c>
      <c r="X376" s="19" t="s">
        <v>326</v>
      </c>
      <c r="Y376" s="19">
        <f t="shared" si="159"/>
        <v>26460</v>
      </c>
      <c r="Z376" s="19">
        <f ca="1" t="shared" si="135"/>
        <v>0.840258379639175</v>
      </c>
      <c r="AA376" s="282">
        <f ca="1" t="shared" si="136"/>
        <v>4.905215625</v>
      </c>
      <c r="AB376" s="282">
        <f ca="1" t="shared" si="137"/>
        <v>18</v>
      </c>
      <c r="AC376" s="282">
        <f ca="1" t="shared" si="138"/>
        <v>5.40555</v>
      </c>
      <c r="AD376" s="282">
        <f ca="1" t="shared" si="139"/>
        <v>1.3513875</v>
      </c>
      <c r="AE376" s="282">
        <f ca="1" t="shared" si="140"/>
        <v>0.337846875</v>
      </c>
      <c r="AF376" s="19" t="str">
        <f t="shared" si="141"/>
        <v>彩1</v>
      </c>
      <c r="AG376" s="19">
        <f>IFERROR(_xlfn.XLOOKUP(C376+1,[2]基因升级!$E$141:$E$500,[2]基因升级!$D$141:$D$500)-1,AG375)</f>
        <v>95</v>
      </c>
      <c r="AH376" s="19">
        <v>7</v>
      </c>
      <c r="AI376" s="19">
        <f t="shared" si="142"/>
        <v>9.2039189417803</v>
      </c>
      <c r="AJ376" s="19">
        <f t="shared" si="154"/>
        <v>0</v>
      </c>
      <c r="AK376" s="269">
        <v>1.864</v>
      </c>
      <c r="AL376" s="287">
        <f t="shared" si="162"/>
        <v>11.7599999999999</v>
      </c>
      <c r="AM376" s="287">
        <f t="shared" si="163"/>
        <v>8.16</v>
      </c>
      <c r="AN376" s="287">
        <f t="shared" si="164"/>
        <v>4.4</v>
      </c>
      <c r="AO376" s="293"/>
      <c r="AQ376" s="19">
        <f t="shared" si="143"/>
        <v>2.21591565436734</v>
      </c>
      <c r="AR376" s="19">
        <f t="shared" si="144"/>
        <v>1.73688724506697</v>
      </c>
      <c r="AS376" s="19">
        <f t="shared" si="145"/>
        <v>1.34675507820826</v>
      </c>
      <c r="AT376" s="19">
        <f t="shared" si="146"/>
        <v>1</v>
      </c>
      <c r="AU376" s="19">
        <f t="shared" si="147"/>
        <v>1</v>
      </c>
      <c r="AV376" s="232">
        <f t="shared" si="166"/>
        <v>0.0399999999999991</v>
      </c>
      <c r="AW376" s="232">
        <f t="shared" si="167"/>
        <v>0.0399999999999991</v>
      </c>
      <c r="AX376" s="232">
        <f t="shared" si="168"/>
        <v>0.0999999999999996</v>
      </c>
      <c r="AY376" s="232">
        <f t="shared" si="169"/>
        <v>0</v>
      </c>
      <c r="AZ376" s="232">
        <f t="shared" si="170"/>
        <v>0</v>
      </c>
    </row>
    <row r="377" spans="1:52">
      <c r="A377" s="269"/>
      <c r="C377" s="19">
        <v>254</v>
      </c>
      <c r="D377" s="86">
        <f ca="1" t="shared" si="155"/>
        <v>195.176582260584</v>
      </c>
      <c r="E377" s="251">
        <f ca="1" t="shared" si="132"/>
        <v>0.341572620721594</v>
      </c>
      <c r="F377" s="269">
        <f ca="1" t="shared" si="148"/>
        <v>388.492996248797</v>
      </c>
      <c r="G377" s="283">
        <f ca="1" t="shared" si="149"/>
        <v>132.698570860686</v>
      </c>
      <c r="H377" s="279">
        <f ca="1" t="shared" si="150"/>
        <v>0.224484923490081</v>
      </c>
      <c r="I377" s="269">
        <f ca="1">SUM($J$125:J377)/SUM($H$125:H377)</f>
        <v>0.550617153746688</v>
      </c>
      <c r="J377" s="284">
        <f t="shared" si="156"/>
        <v>0.0882620560100804</v>
      </c>
      <c r="K377" s="19">
        <f t="shared" si="158"/>
        <v>26300</v>
      </c>
      <c r="L377" s="269">
        <f t="shared" si="151"/>
        <v>2.31499999999997</v>
      </c>
      <c r="M377" s="226">
        <f ca="1" t="shared" si="152"/>
        <v>57.552</v>
      </c>
      <c r="N377" s="280">
        <f ca="1" t="shared" si="157"/>
        <v>0.136222867479994</v>
      </c>
      <c r="O377" s="226">
        <f t="shared" si="161"/>
        <v>26.4</v>
      </c>
      <c r="P377" s="19">
        <f ca="1" t="shared" si="165"/>
        <v>12.8</v>
      </c>
      <c r="Q377" s="226">
        <f ca="1" t="shared" si="160"/>
        <v>2.18</v>
      </c>
      <c r="R377" s="269">
        <f ca="1" t="shared" si="133"/>
        <v>0.631165381902343</v>
      </c>
      <c r="S377" s="266">
        <f ca="1" t="shared" si="134"/>
        <v>59.2947590445176</v>
      </c>
      <c r="T377" s="226">
        <f ca="1">(1+OFFSET('玩法产出(新)'!$C$18,MATCH(X377,'玩法产出(新)'!$B$19:$B$25,0),1)*(1-V377)+OFFSET('玩法产出(新)'!$C$18,1+MATCH(X377,'玩法产出(新)'!$B$19:$B$25,0),1)*(V377))^AA377*(1+OFFSET('玩法产出(新)'!$C$18,MATCH(X377,'玩法产出(新)'!$B$19:$B$25,0),3)*(1-V377)+OFFSET('玩法产出(新)'!$C$18,1+MATCH(X377,'玩法产出(新)'!$B$19:$B$25,0),3)*(V377))^AB377*(1+OFFSET('玩法产出(新)'!$C$18,MATCH(X377,'玩法产出(新)'!$B$19:$B$25,0),4)*(1-V377)+OFFSET('玩法产出(新)'!$C$18,1+MATCH(X377,'玩法产出(新)'!$B$19:$B$25,0),4)*(V377))^AC377*(1+OFFSET('玩法产出(新)'!$C$18,MATCH(X377,'玩法产出(新)'!$B$19:$B$25,0),5)*(1+V377)+OFFSET('玩法产出(新)'!$C$18,1+MATCH(X377,'玩法产出(新)'!$B$19:$B$25,5),1)*(V377))^AD377*(1+OFFSET('玩法产出(新)'!$C$18,MATCH(X377,'玩法产出(新)'!$B$19:$B$25,0),6)*(1+V377)+OFFSET('玩法产出(新)'!$C$18,1+MATCH(X377,'玩法产出(新)'!$B$19:$B$25,0),6)*(V377))^AE377</f>
        <v>55.2464043439498</v>
      </c>
      <c r="U377" s="226">
        <f ca="1" t="shared" si="153"/>
        <v>0.11708769723152</v>
      </c>
      <c r="V377" s="226">
        <f ca="1">COUNTIF($X$124:$X377,X377)/(COUNTIF($X$124:$X$723,X377)+1)</f>
        <v>0.284536082474227</v>
      </c>
      <c r="W377" s="19">
        <v>30</v>
      </c>
      <c r="X377" s="19" t="s">
        <v>326</v>
      </c>
      <c r="Y377" s="19">
        <f t="shared" si="159"/>
        <v>26560</v>
      </c>
      <c r="Z377" s="19">
        <f ca="1" t="shared" si="135"/>
        <v>0.835972973195876</v>
      </c>
      <c r="AA377" s="282">
        <f ca="1" t="shared" si="136"/>
        <v>4.87785</v>
      </c>
      <c r="AB377" s="282">
        <f ca="1" t="shared" si="137"/>
        <v>18</v>
      </c>
      <c r="AC377" s="282">
        <f ca="1" t="shared" si="138"/>
        <v>5.4264</v>
      </c>
      <c r="AD377" s="282">
        <f ca="1" t="shared" si="139"/>
        <v>1.3566</v>
      </c>
      <c r="AE377" s="282">
        <f ca="1" t="shared" si="140"/>
        <v>0.33915</v>
      </c>
      <c r="AF377" s="19" t="str">
        <f t="shared" si="141"/>
        <v>彩1</v>
      </c>
      <c r="AG377" s="19">
        <f>IFERROR(_xlfn.XLOOKUP(C377+1,[2]基因升级!$E$141:$E$500,[2]基因升级!$D$141:$D$500)-1,AG376)</f>
        <v>95</v>
      </c>
      <c r="AH377" s="19">
        <v>7</v>
      </c>
      <c r="AI377" s="19">
        <f t="shared" si="142"/>
        <v>9.2039189417803</v>
      </c>
      <c r="AJ377" s="19">
        <f t="shared" si="154"/>
        <v>0</v>
      </c>
      <c r="AK377" s="269">
        <v>1.864</v>
      </c>
      <c r="AL377" s="287">
        <f t="shared" si="162"/>
        <v>11.7999999999999</v>
      </c>
      <c r="AM377" s="287">
        <f t="shared" si="163"/>
        <v>8.2</v>
      </c>
      <c r="AN377" s="287">
        <f t="shared" si="164"/>
        <v>4.5</v>
      </c>
      <c r="AO377" s="293"/>
      <c r="AQ377" s="19">
        <f t="shared" si="143"/>
        <v>2.22192081105</v>
      </c>
      <c r="AR377" s="19">
        <f t="shared" si="144"/>
        <v>1.74159422929996</v>
      </c>
      <c r="AS377" s="19">
        <f t="shared" si="145"/>
        <v>1.35589793584184</v>
      </c>
      <c r="AT377" s="19">
        <f t="shared" si="146"/>
        <v>1</v>
      </c>
      <c r="AU377" s="19">
        <f t="shared" si="147"/>
        <v>1</v>
      </c>
      <c r="AV377" s="232">
        <f t="shared" si="166"/>
        <v>0.0399999999999991</v>
      </c>
      <c r="AW377" s="232">
        <f t="shared" si="167"/>
        <v>0.0399999999999991</v>
      </c>
      <c r="AX377" s="232">
        <f t="shared" si="168"/>
        <v>0.0999999999999996</v>
      </c>
      <c r="AY377" s="232">
        <f t="shared" si="169"/>
        <v>0</v>
      </c>
      <c r="AZ377" s="232">
        <f t="shared" si="170"/>
        <v>0</v>
      </c>
    </row>
    <row r="378" spans="1:52">
      <c r="A378" s="269"/>
      <c r="C378" s="19">
        <v>255</v>
      </c>
      <c r="D378" s="86">
        <f ca="1" t="shared" si="155"/>
        <v>195.516774638248</v>
      </c>
      <c r="E378" s="251">
        <f ca="1" t="shared" si="132"/>
        <v>0.340192377663292</v>
      </c>
      <c r="F378" s="269">
        <f ca="1" t="shared" si="148"/>
        <v>390.724595319031</v>
      </c>
      <c r="G378" s="283">
        <f ca="1" t="shared" si="149"/>
        <v>132.921529093109</v>
      </c>
      <c r="H378" s="279">
        <f ca="1" t="shared" si="150"/>
        <v>0.22295823242294</v>
      </c>
      <c r="I378" s="269">
        <f ca="1">SUM($J$125:J378)/SUM($H$125:H378)</f>
        <v>0.550334166699338</v>
      </c>
      <c r="J378" s="284">
        <f t="shared" si="156"/>
        <v>0.087979426767248</v>
      </c>
      <c r="K378" s="19">
        <f t="shared" si="158"/>
        <v>26400</v>
      </c>
      <c r="L378" s="269">
        <f t="shared" si="151"/>
        <v>2.31999999999997</v>
      </c>
      <c r="M378" s="226">
        <f ca="1" t="shared" si="152"/>
        <v>58.08</v>
      </c>
      <c r="N378" s="280">
        <f ca="1" t="shared" si="157"/>
        <v>0.134978805655678</v>
      </c>
      <c r="O378" s="226">
        <f t="shared" si="161"/>
        <v>26.4</v>
      </c>
      <c r="P378" s="19">
        <f ca="1" t="shared" si="165"/>
        <v>13</v>
      </c>
      <c r="Q378" s="226">
        <f ca="1" t="shared" si="160"/>
        <v>2.2</v>
      </c>
      <c r="R378" s="269">
        <f ca="1" t="shared" si="133"/>
        <v>0.632413285346846</v>
      </c>
      <c r="S378" s="266">
        <f ca="1" t="shared" si="134"/>
        <v>59.4119931897579</v>
      </c>
      <c r="T378" s="226">
        <f ca="1">(1+OFFSET('玩法产出(新)'!$C$18,MATCH(X378,'玩法产出(新)'!$B$19:$B$25,0),1)*(1-V378)+OFFSET('玩法产出(新)'!$C$18,1+MATCH(X378,'玩法产出(新)'!$B$19:$B$25,0),1)*(V378))^AA378*(1+OFFSET('玩法产出(新)'!$C$18,MATCH(X378,'玩法产出(新)'!$B$19:$B$25,0),3)*(1-V378)+OFFSET('玩法产出(新)'!$C$18,1+MATCH(X378,'玩法产出(新)'!$B$19:$B$25,0),3)*(V378))^AB378*(1+OFFSET('玩法产出(新)'!$C$18,MATCH(X378,'玩法产出(新)'!$B$19:$B$25,0),4)*(1-V378)+OFFSET('玩法产出(新)'!$C$18,1+MATCH(X378,'玩法产出(新)'!$B$19:$B$25,0),4)*(V378))^AC378*(1+OFFSET('玩法产出(新)'!$C$18,MATCH(X378,'玩法产出(新)'!$B$19:$B$25,0),5)*(1+V378)+OFFSET('玩法产出(新)'!$C$18,1+MATCH(X378,'玩法产出(新)'!$B$19:$B$25,5),1)*(V378))^AD378*(1+OFFSET('玩法产出(新)'!$C$18,MATCH(X378,'玩法产出(新)'!$B$19:$B$25,0),6)*(1+V378)+OFFSET('玩法产出(新)'!$C$18,1+MATCH(X378,'玩法产出(新)'!$B$19:$B$25,0),6)*(V378))^AE378</f>
        <v>55.6863560303144</v>
      </c>
      <c r="U378" s="226">
        <f ca="1" t="shared" si="153"/>
        <v>0.117234145240367</v>
      </c>
      <c r="V378" s="226">
        <f ca="1">COUNTIF($X$124:$X378,X378)/(COUNTIF($X$124:$X$723,X378)+1)</f>
        <v>0.28659793814433</v>
      </c>
      <c r="W378" s="19">
        <v>30</v>
      </c>
      <c r="X378" s="19" t="s">
        <v>326</v>
      </c>
      <c r="Y378" s="19">
        <f t="shared" si="159"/>
        <v>26660</v>
      </c>
      <c r="Z378" s="19">
        <f ca="1" t="shared" si="135"/>
        <v>0.831683052835052</v>
      </c>
      <c r="AA378" s="282">
        <f ca="1" t="shared" si="136"/>
        <v>4.850484375</v>
      </c>
      <c r="AB378" s="282">
        <f ca="1" t="shared" si="137"/>
        <v>18</v>
      </c>
      <c r="AC378" s="282">
        <f ca="1" t="shared" si="138"/>
        <v>5.44725</v>
      </c>
      <c r="AD378" s="282">
        <f ca="1" t="shared" si="139"/>
        <v>1.3618125</v>
      </c>
      <c r="AE378" s="282">
        <f ca="1" t="shared" si="140"/>
        <v>0.340453125</v>
      </c>
      <c r="AF378" s="19" t="str">
        <f t="shared" si="141"/>
        <v>彩1</v>
      </c>
      <c r="AG378" s="19">
        <f>IFERROR(_xlfn.XLOOKUP(C378+1,[2]基因升级!$E$141:$E$500,[2]基因升级!$D$141:$D$500)-1,AG377)</f>
        <v>95</v>
      </c>
      <c r="AH378" s="19">
        <v>7</v>
      </c>
      <c r="AI378" s="19">
        <f t="shared" si="142"/>
        <v>9.2039189417803</v>
      </c>
      <c r="AJ378" s="19">
        <f t="shared" si="154"/>
        <v>0</v>
      </c>
      <c r="AK378" s="269">
        <v>1.864</v>
      </c>
      <c r="AL378" s="287">
        <f t="shared" si="162"/>
        <v>11.8399999999999</v>
      </c>
      <c r="AM378" s="287">
        <f t="shared" si="163"/>
        <v>8.23999999999999</v>
      </c>
      <c r="AN378" s="287">
        <f t="shared" si="164"/>
        <v>4.55</v>
      </c>
      <c r="AO378" s="293"/>
      <c r="AQ378" s="19">
        <f t="shared" si="143"/>
        <v>2.22794224177572</v>
      </c>
      <c r="AR378" s="19">
        <f t="shared" si="144"/>
        <v>1.74631396951387</v>
      </c>
      <c r="AS378" s="19">
        <f t="shared" si="145"/>
        <v>1.36049261429369</v>
      </c>
      <c r="AT378" s="19">
        <f t="shared" si="146"/>
        <v>1</v>
      </c>
      <c r="AU378" s="19">
        <f t="shared" si="147"/>
        <v>1</v>
      </c>
      <c r="AV378" s="232">
        <f t="shared" si="166"/>
        <v>0.0399999999999991</v>
      </c>
      <c r="AW378" s="232">
        <f t="shared" si="167"/>
        <v>0.0399999999999991</v>
      </c>
      <c r="AX378" s="232">
        <f t="shared" si="168"/>
        <v>0.0499999999999998</v>
      </c>
      <c r="AY378" s="232">
        <f t="shared" si="169"/>
        <v>0</v>
      </c>
      <c r="AZ378" s="232">
        <f t="shared" si="170"/>
        <v>0</v>
      </c>
    </row>
    <row r="379" spans="1:52">
      <c r="A379" s="269"/>
      <c r="C379" s="19">
        <v>256</v>
      </c>
      <c r="D379" s="86">
        <f ca="1" t="shared" si="155"/>
        <v>195.855611112766</v>
      </c>
      <c r="E379" s="251">
        <f ca="1" t="shared" si="132"/>
        <v>0.338836474518233</v>
      </c>
      <c r="F379" s="269">
        <f ca="1" t="shared" si="148"/>
        <v>392.941714004693</v>
      </c>
      <c r="G379" s="283">
        <f ca="1" t="shared" si="149"/>
        <v>133.142985064502</v>
      </c>
      <c r="H379" s="279">
        <f ca="1" t="shared" si="150"/>
        <v>0.221455971393254</v>
      </c>
      <c r="I379" s="269">
        <f ca="1">SUM($J$125:J379)/SUM($H$125:H379)</f>
        <v>0.550056635037109</v>
      </c>
      <c r="J379" s="284">
        <f t="shared" si="156"/>
        <v>0.0876987101405575</v>
      </c>
      <c r="K379" s="19">
        <f t="shared" si="158"/>
        <v>26500</v>
      </c>
      <c r="L379" s="269">
        <f t="shared" si="151"/>
        <v>2.32499999999997</v>
      </c>
      <c r="M379" s="226">
        <f ca="1" t="shared" si="152"/>
        <v>58.608</v>
      </c>
      <c r="N379" s="280">
        <f ca="1" t="shared" si="157"/>
        <v>0.133757261252711</v>
      </c>
      <c r="O379" s="226">
        <f t="shared" si="161"/>
        <v>26.4</v>
      </c>
      <c r="P379" s="19">
        <f ca="1" t="shared" si="165"/>
        <v>13.2</v>
      </c>
      <c r="Q379" s="226">
        <f ca="1" t="shared" si="160"/>
        <v>2.22</v>
      </c>
      <c r="R379" s="269">
        <f ca="1" t="shared" si="133"/>
        <v>0.633662746703576</v>
      </c>
      <c r="S379" s="266">
        <f ca="1" t="shared" si="134"/>
        <v>59.5293736928829</v>
      </c>
      <c r="T379" s="226">
        <f ca="1">(1+OFFSET('玩法产出(新)'!$C$18,MATCH(X379,'玩法产出(新)'!$B$19:$B$25,0),1)*(1-V379)+OFFSET('玩法产出(新)'!$C$18,1+MATCH(X379,'玩法产出(新)'!$B$19:$B$25,0),1)*(V379))^AA379*(1+OFFSET('玩法产出(新)'!$C$18,MATCH(X379,'玩法产出(新)'!$B$19:$B$25,0),3)*(1-V379)+OFFSET('玩法产出(新)'!$C$18,1+MATCH(X379,'玩法产出(新)'!$B$19:$B$25,0),3)*(V379))^AB379*(1+OFFSET('玩法产出(新)'!$C$18,MATCH(X379,'玩法产出(新)'!$B$19:$B$25,0),4)*(1-V379)+OFFSET('玩法产出(新)'!$C$18,1+MATCH(X379,'玩法产出(新)'!$B$19:$B$25,0),4)*(V379))^AC379*(1+OFFSET('玩法产出(新)'!$C$18,MATCH(X379,'玩法产出(新)'!$B$19:$B$25,0),5)*(1+V379)+OFFSET('玩法产出(新)'!$C$18,1+MATCH(X379,'玩法产出(新)'!$B$19:$B$25,5),1)*(V379))^AD379*(1+OFFSET('玩法产出(新)'!$C$18,MATCH(X379,'玩法产出(新)'!$B$19:$B$25,0),6)*(1+V379)+OFFSET('玩法产出(新)'!$C$18,1+MATCH(X379,'玩法产出(新)'!$B$19:$B$25,0),6)*(V379))^AE379</f>
        <v>56.1303670688932</v>
      </c>
      <c r="U379" s="226">
        <f ca="1" t="shared" si="153"/>
        <v>0.117380503124965</v>
      </c>
      <c r="V379" s="226">
        <f ca="1">COUNTIF($X$124:$X379,X379)/(COUNTIF($X$124:$X$723,X379)+1)</f>
        <v>0.288659793814433</v>
      </c>
      <c r="W379" s="19">
        <v>30</v>
      </c>
      <c r="X379" s="19" t="s">
        <v>326</v>
      </c>
      <c r="Y379" s="19">
        <f t="shared" si="159"/>
        <v>26760</v>
      </c>
      <c r="Z379" s="19">
        <f ca="1" t="shared" si="135"/>
        <v>0.827388618556702</v>
      </c>
      <c r="AA379" s="282">
        <f ca="1" t="shared" si="136"/>
        <v>4.82311875</v>
      </c>
      <c r="AB379" s="282">
        <f ca="1" t="shared" si="137"/>
        <v>18</v>
      </c>
      <c r="AC379" s="282">
        <f ca="1" t="shared" si="138"/>
        <v>5.4681</v>
      </c>
      <c r="AD379" s="282">
        <f ca="1" t="shared" si="139"/>
        <v>1.367025</v>
      </c>
      <c r="AE379" s="282">
        <f ca="1" t="shared" si="140"/>
        <v>0.34175625</v>
      </c>
      <c r="AF379" s="19" t="str">
        <f t="shared" si="141"/>
        <v>彩1</v>
      </c>
      <c r="AG379" s="19">
        <f>IFERROR(_xlfn.XLOOKUP(C379+1,[2]基因升级!$E$141:$E$500,[2]基因升级!$D$141:$D$500)-1,AG378)</f>
        <v>95</v>
      </c>
      <c r="AH379" s="19">
        <v>7</v>
      </c>
      <c r="AI379" s="19">
        <f t="shared" si="142"/>
        <v>9.2039189417803</v>
      </c>
      <c r="AJ379" s="19">
        <f t="shared" si="154"/>
        <v>0</v>
      </c>
      <c r="AK379" s="269">
        <v>1.864</v>
      </c>
      <c r="AL379" s="287">
        <f t="shared" si="162"/>
        <v>11.8799999999999</v>
      </c>
      <c r="AM379" s="287">
        <f t="shared" si="163"/>
        <v>8.27999999999999</v>
      </c>
      <c r="AN379" s="287">
        <f t="shared" si="164"/>
        <v>4.6</v>
      </c>
      <c r="AO379" s="293"/>
      <c r="AQ379" s="19">
        <f t="shared" si="143"/>
        <v>2.23397999064735</v>
      </c>
      <c r="AR379" s="19">
        <f t="shared" si="144"/>
        <v>1.75104650027756</v>
      </c>
      <c r="AS379" s="19">
        <f t="shared" si="145"/>
        <v>1.3651028625532</v>
      </c>
      <c r="AT379" s="19">
        <f t="shared" si="146"/>
        <v>1</v>
      </c>
      <c r="AU379" s="19">
        <f t="shared" si="147"/>
        <v>1</v>
      </c>
      <c r="AV379" s="232">
        <f t="shared" si="166"/>
        <v>0.0399999999999991</v>
      </c>
      <c r="AW379" s="232">
        <f t="shared" si="167"/>
        <v>0.0399999999999991</v>
      </c>
      <c r="AX379" s="232">
        <f t="shared" si="168"/>
        <v>0.0499999999999998</v>
      </c>
      <c r="AY379" s="232">
        <f t="shared" si="169"/>
        <v>0</v>
      </c>
      <c r="AZ379" s="232">
        <f t="shared" si="170"/>
        <v>0</v>
      </c>
    </row>
    <row r="380" spans="1:52">
      <c r="A380" s="269"/>
      <c r="C380" s="19">
        <v>257</v>
      </c>
      <c r="D380" s="86">
        <f ca="1" t="shared" si="155"/>
        <v>196.193115398137</v>
      </c>
      <c r="E380" s="251">
        <f ca="1" t="shared" ref="E380:E443" si="171">J380+N380+U380+AJ380</f>
        <v>0.337504285371383</v>
      </c>
      <c r="F380" s="269">
        <f ca="1" t="shared" si="148"/>
        <v>395.144501445713</v>
      </c>
      <c r="G380" s="283">
        <f ca="1" t="shared" si="149"/>
        <v>133.362962578867</v>
      </c>
      <c r="H380" s="279">
        <f ca="1" t="shared" si="150"/>
        <v>0.219977514364444</v>
      </c>
      <c r="I380" s="269">
        <f ca="1">SUM($J$125:J380)/SUM($H$125:H380)</f>
        <v>0.54978442849575</v>
      </c>
      <c r="J380" s="284">
        <f t="shared" si="156"/>
        <v>0.087419885959676</v>
      </c>
      <c r="K380" s="19">
        <f t="shared" si="158"/>
        <v>26600</v>
      </c>
      <c r="L380" s="269">
        <f t="shared" si="151"/>
        <v>2.32999999999997</v>
      </c>
      <c r="M380" s="226">
        <f ca="1" t="shared" si="152"/>
        <v>59.136</v>
      </c>
      <c r="N380" s="280">
        <f ca="1" t="shared" si="157"/>
        <v>0.132557628404761</v>
      </c>
      <c r="O380" s="226">
        <f t="shared" si="161"/>
        <v>26.4</v>
      </c>
      <c r="P380" s="19">
        <f ca="1" t="shared" si="165"/>
        <v>13.4</v>
      </c>
      <c r="Q380" s="226">
        <f ca="1" t="shared" si="160"/>
        <v>2.24</v>
      </c>
      <c r="R380" s="269">
        <f ca="1" t="shared" ref="R380:R443" si="172">S380/$E$115</f>
        <v>0.634913765014497</v>
      </c>
      <c r="S380" s="266">
        <f ca="1" t="shared" ref="S380:S443" si="173">LOG(T380,1.07)</f>
        <v>59.6469004638898</v>
      </c>
      <c r="T380" s="226">
        <f ca="1">(1+OFFSET('玩法产出(新)'!$C$18,MATCH(X380,'玩法产出(新)'!$B$19:$B$25,0),1)*(1-V380)+OFFSET('玩法产出(新)'!$C$18,1+MATCH(X380,'玩法产出(新)'!$B$19:$B$25,0),1)*(V380))^AA380*(1+OFFSET('玩法产出(新)'!$C$18,MATCH(X380,'玩法产出(新)'!$B$19:$B$25,0),3)*(1-V380)+OFFSET('玩法产出(新)'!$C$18,1+MATCH(X380,'玩法产出(新)'!$B$19:$B$25,0),3)*(V380))^AB380*(1+OFFSET('玩法产出(新)'!$C$18,MATCH(X380,'玩法产出(新)'!$B$19:$B$25,0),4)*(1-V380)+OFFSET('玩法产出(新)'!$C$18,1+MATCH(X380,'玩法产出(新)'!$B$19:$B$25,0),4)*(V380))^AC380*(1+OFFSET('玩法产出(新)'!$C$18,MATCH(X380,'玩法产出(新)'!$B$19:$B$25,0),5)*(1+V380)+OFFSET('玩法产出(新)'!$C$18,1+MATCH(X380,'玩法产出(新)'!$B$19:$B$25,5),1)*(V380))^AD380*(1+OFFSET('玩法产出(新)'!$C$18,MATCH(X380,'玩法产出(新)'!$B$19:$B$25,0),6)*(1+V380)+OFFSET('玩法产出(新)'!$C$18,1+MATCH(X380,'玩法产出(新)'!$B$19:$B$25,0),6)*(V380))^AE380</f>
        <v>56.5784783107284</v>
      </c>
      <c r="U380" s="226">
        <f ca="1" t="shared" si="153"/>
        <v>0.117526771006945</v>
      </c>
      <c r="V380" s="226">
        <f ca="1">COUNTIF($X$124:$X380,X380)/(COUNTIF($X$124:$X$723,X380)+1)</f>
        <v>0.290721649484536</v>
      </c>
      <c r="W380" s="19">
        <v>30</v>
      </c>
      <c r="X380" s="19" t="s">
        <v>326</v>
      </c>
      <c r="Y380" s="19">
        <f t="shared" si="159"/>
        <v>26860</v>
      </c>
      <c r="Z380" s="19">
        <f ca="1" t="shared" ref="Z380:Z443" si="174">(_xlfn.XLOOKUP(X380,$W$110:$W$115,$X$110:$X$115)+V380*_xlfn.XLOOKUP(X380,$W$110:$W$115,$Y$110:$Y$115))*MIN(AA380/2,6)</f>
        <v>0.823089670360825</v>
      </c>
      <c r="AA380" s="282">
        <f ca="1" t="shared" ref="AA380:AA443" si="175">MAX(W380-SUM(AB380:AE380),0)</f>
        <v>4.795753125</v>
      </c>
      <c r="AB380" s="282">
        <f ca="1" t="shared" ref="AB380:AB443" si="176">MIN(1+($Y380*$P$116+120*$C380)/OFFSET($G$101,MATCH(AB$123,$AB$123:$AE$123),0),18)</f>
        <v>18</v>
      </c>
      <c r="AC380" s="282">
        <f ca="1" t="shared" ref="AC380:AC443" si="177">MIN(($Y380*$P$116+120*$C380)/OFFSET($G$101,MATCH(AC$123,$AB$123:$AE$123),0),12)</f>
        <v>5.48895</v>
      </c>
      <c r="AD380" s="282">
        <f ca="1" t="shared" ref="AD380:AD443" si="178">IF(MATCH($X380,$L$112:$L$118,0)&gt;=4,($Y380*$P$116+120*$C380)/OFFSET($G$101,MATCH(AD$123,$AB$123:$AE$123),0),0)</f>
        <v>1.3722375</v>
      </c>
      <c r="AE380" s="282">
        <f ca="1" t="shared" ref="AE380:AE443" si="179">IF(MATCH($X380,$L$112:$L$118,0)&gt;=4,($Y380*$P$116+120*$C380)/OFFSET($G$101,MATCH(AE$123,$AB$123:$AE$123),0),0)</f>
        <v>0.343059375</v>
      </c>
      <c r="AF380" s="19" t="str">
        <f t="shared" ref="AF380:AF443" si="180">_xlfn.XLOOKUP(O380,$D$77:$D$95,$F$77:$F$95)</f>
        <v>彩1</v>
      </c>
      <c r="AG380" s="19">
        <f>IFERROR(_xlfn.XLOOKUP(C380+1,[2]基因升级!$E$141:$E$500,[2]基因升级!$D$141:$D$500)-1,AG379)</f>
        <v>95</v>
      </c>
      <c r="AH380" s="19">
        <v>7</v>
      </c>
      <c r="AI380" s="19">
        <f t="shared" ref="AI380:AI443" si="181">LOG(AK380,1.07)</f>
        <v>9.2039189417803</v>
      </c>
      <c r="AJ380" s="19">
        <f t="shared" si="154"/>
        <v>0</v>
      </c>
      <c r="AK380" s="269">
        <v>1.864</v>
      </c>
      <c r="AL380" s="287">
        <f t="shared" si="162"/>
        <v>11.9199999999999</v>
      </c>
      <c r="AM380" s="287">
        <f t="shared" si="163"/>
        <v>8.31999999999999</v>
      </c>
      <c r="AN380" s="287">
        <f t="shared" si="164"/>
        <v>4.65</v>
      </c>
      <c r="AO380" s="293"/>
      <c r="AQ380" s="19">
        <f t="shared" ref="AQ380:AQ443" si="182">1.07^AL380</f>
        <v>2.24003410188724</v>
      </c>
      <c r="AR380" s="19">
        <f t="shared" ref="AR380:AR443" si="183">1.07^AM380</f>
        <v>1.75579185625357</v>
      </c>
      <c r="AS380" s="19">
        <f t="shared" ref="AS380:AS443" si="184">1.07^AN380</f>
        <v>1.36972873338119</v>
      </c>
      <c r="AT380" s="19">
        <f t="shared" ref="AT380:AT443" si="185">1.07^AO380</f>
        <v>1</v>
      </c>
      <c r="AU380" s="19">
        <f t="shared" ref="AU380:AU443" si="186">1.07^AP380</f>
        <v>1</v>
      </c>
      <c r="AV380" s="232">
        <f t="shared" si="166"/>
        <v>0.0399999999999991</v>
      </c>
      <c r="AW380" s="232">
        <f t="shared" si="167"/>
        <v>0.0399999999999991</v>
      </c>
      <c r="AX380" s="232">
        <f t="shared" si="168"/>
        <v>0.0499999999999998</v>
      </c>
      <c r="AY380" s="232">
        <f t="shared" si="169"/>
        <v>0</v>
      </c>
      <c r="AZ380" s="232">
        <f t="shared" si="170"/>
        <v>0</v>
      </c>
    </row>
    <row r="381" spans="1:52">
      <c r="A381" s="269"/>
      <c r="C381" s="19">
        <v>258</v>
      </c>
      <c r="D381" s="86">
        <f ca="1" t="shared" si="155"/>
        <v>196.529310604277</v>
      </c>
      <c r="E381" s="251">
        <f ca="1" t="shared" si="171"/>
        <v>0.336195206140318</v>
      </c>
      <c r="F381" s="269">
        <f ca="1" t="shared" ref="F381:F444" si="187">G381/E381</f>
        <v>397.333104090265</v>
      </c>
      <c r="G381" s="283">
        <f ca="1" t="shared" ref="G381:G444" si="188">LOG((K381*O381*L381*Q381)/($K$124*$O$124*$L$124*$Q$124),1.07)+$G$124</f>
        <v>133.581484835999</v>
      </c>
      <c r="H381" s="279">
        <f ca="1" t="shared" ref="H381:H444" si="189">G381-G380</f>
        <v>0.218522257132719</v>
      </c>
      <c r="I381" s="269">
        <f ca="1">SUM($J$125:J381)/SUM($H$125:H381)</f>
        <v>0.549517420861471</v>
      </c>
      <c r="J381" s="284">
        <f t="shared" si="156"/>
        <v>0.087142934344655</v>
      </c>
      <c r="K381" s="19">
        <f t="shared" si="158"/>
        <v>26700</v>
      </c>
      <c r="L381" s="269">
        <f t="shared" ref="L381:L444" si="190">L380+0.5%</f>
        <v>2.33499999999997</v>
      </c>
      <c r="M381" s="226">
        <f ca="1" t="shared" ref="M381:M444" si="191">O381*Q381</f>
        <v>59.664</v>
      </c>
      <c r="N381" s="280">
        <f ca="1" t="shared" si="157"/>
        <v>0.131379322788078</v>
      </c>
      <c r="O381" s="226">
        <f t="shared" si="161"/>
        <v>26.4</v>
      </c>
      <c r="P381" s="19">
        <f ca="1" t="shared" si="165"/>
        <v>13.6</v>
      </c>
      <c r="Q381" s="226">
        <f ca="1" t="shared" si="160"/>
        <v>2.26</v>
      </c>
      <c r="R381" s="269">
        <f ca="1" t="shared" si="172"/>
        <v>0.636166339322864</v>
      </c>
      <c r="S381" s="266">
        <f ca="1" t="shared" si="173"/>
        <v>59.7645734128974</v>
      </c>
      <c r="T381" s="226">
        <f ca="1">(1+OFFSET('玩法产出(新)'!$C$18,MATCH(X381,'玩法产出(新)'!$B$19:$B$25,0),1)*(1-V381)+OFFSET('玩法产出(新)'!$C$18,1+MATCH(X381,'玩法产出(新)'!$B$19:$B$25,0),1)*(V381))^AA381*(1+OFFSET('玩法产出(新)'!$C$18,MATCH(X381,'玩法产出(新)'!$B$19:$B$25,0),3)*(1-V381)+OFFSET('玩法产出(新)'!$C$18,1+MATCH(X381,'玩法产出(新)'!$B$19:$B$25,0),3)*(V381))^AB381*(1+OFFSET('玩法产出(新)'!$C$18,MATCH(X381,'玩法产出(新)'!$B$19:$B$25,0),4)*(1-V381)+OFFSET('玩法产出(新)'!$C$18,1+MATCH(X381,'玩法产出(新)'!$B$19:$B$25,0),4)*(V381))^AC381*(1+OFFSET('玩法产出(新)'!$C$18,MATCH(X381,'玩法产出(新)'!$B$19:$B$25,0),5)*(1+V381)+OFFSET('玩法产出(新)'!$C$18,1+MATCH(X381,'玩法产出(新)'!$B$19:$B$25,5),1)*(V381))^AD381*(1+OFFSET('玩法产出(新)'!$C$18,MATCH(X381,'玩法产出(新)'!$B$19:$B$25,0),6)*(1+V381)+OFFSET('玩法产出(新)'!$C$18,1+MATCH(X381,'玩法产出(新)'!$B$19:$B$25,0),6)*(V381))^AE381</f>
        <v>57.0307310472924</v>
      </c>
      <c r="U381" s="226">
        <f ca="1" t="shared" ref="U381:U444" si="192">LOG(T381/T380,1.07)</f>
        <v>0.117672949007585</v>
      </c>
      <c r="V381" s="226">
        <f ca="1">COUNTIF($X$124:$X381,X381)/(COUNTIF($X$124:$X$723,X381)+1)</f>
        <v>0.292783505154639</v>
      </c>
      <c r="W381" s="19">
        <v>30</v>
      </c>
      <c r="X381" s="19" t="s">
        <v>326</v>
      </c>
      <c r="Y381" s="19">
        <f t="shared" si="159"/>
        <v>26960</v>
      </c>
      <c r="Z381" s="19">
        <f ca="1" t="shared" si="174"/>
        <v>0.818786208247423</v>
      </c>
      <c r="AA381" s="282">
        <f ca="1" t="shared" si="175"/>
        <v>4.7683875</v>
      </c>
      <c r="AB381" s="282">
        <f ca="1" t="shared" si="176"/>
        <v>18</v>
      </c>
      <c r="AC381" s="282">
        <f ca="1" t="shared" si="177"/>
        <v>5.5098</v>
      </c>
      <c r="AD381" s="282">
        <f ca="1" t="shared" si="178"/>
        <v>1.37745</v>
      </c>
      <c r="AE381" s="282">
        <f ca="1" t="shared" si="179"/>
        <v>0.3443625</v>
      </c>
      <c r="AF381" s="19" t="str">
        <f t="shared" si="180"/>
        <v>彩1</v>
      </c>
      <c r="AG381" s="19">
        <f>IFERROR(_xlfn.XLOOKUP(C381+1,[2]基因升级!$E$141:$E$500,[2]基因升级!$D$141:$D$500)-1,AG380)</f>
        <v>96</v>
      </c>
      <c r="AH381" s="19">
        <v>7</v>
      </c>
      <c r="AI381" s="19">
        <f t="shared" si="181"/>
        <v>9.2039189417803</v>
      </c>
      <c r="AJ381" s="19">
        <f t="shared" ref="AJ381:AJ444" si="193">AI381-AI380</f>
        <v>0</v>
      </c>
      <c r="AK381" s="269">
        <v>1.864</v>
      </c>
      <c r="AL381" s="287">
        <f t="shared" si="162"/>
        <v>11.9599999999999</v>
      </c>
      <c r="AM381" s="287">
        <f t="shared" si="163"/>
        <v>8.35999999999999</v>
      </c>
      <c r="AN381" s="287">
        <f t="shared" si="164"/>
        <v>4.7</v>
      </c>
      <c r="AO381" s="293"/>
      <c r="AQ381" s="19">
        <f t="shared" si="182"/>
        <v>2.2461046198376</v>
      </c>
      <c r="AR381" s="19">
        <f t="shared" si="183"/>
        <v>1.76055007219837</v>
      </c>
      <c r="AS381" s="19">
        <f t="shared" si="184"/>
        <v>1.37437027971722</v>
      </c>
      <c r="AT381" s="19">
        <f t="shared" si="185"/>
        <v>1</v>
      </c>
      <c r="AU381" s="19">
        <f t="shared" si="186"/>
        <v>1</v>
      </c>
      <c r="AV381" s="232">
        <f t="shared" si="166"/>
        <v>0.0399999999999991</v>
      </c>
      <c r="AW381" s="232">
        <f t="shared" si="167"/>
        <v>0.0399999999999991</v>
      </c>
      <c r="AX381" s="232">
        <f t="shared" si="168"/>
        <v>0.0499999999999998</v>
      </c>
      <c r="AY381" s="232">
        <f t="shared" si="169"/>
        <v>0</v>
      </c>
      <c r="AZ381" s="232">
        <f t="shared" si="170"/>
        <v>0</v>
      </c>
    </row>
    <row r="382" spans="1:52">
      <c r="A382" s="269"/>
      <c r="C382" s="19">
        <v>259</v>
      </c>
      <c r="D382" s="86">
        <f ca="1" t="shared" ref="D382:D445" si="194">D381+E382</f>
        <v>196.864219257898</v>
      </c>
      <c r="E382" s="251">
        <f ca="1" t="shared" si="171"/>
        <v>0.334908653620987</v>
      </c>
      <c r="F382" s="269">
        <f ca="1" t="shared" si="187"/>
        <v>399.507665764263</v>
      </c>
      <c r="G382" s="283">
        <f ca="1" t="shared" si="188"/>
        <v>133.798574452373</v>
      </c>
      <c r="H382" s="279">
        <f ca="1" t="shared" si="189"/>
        <v>0.217089616373244</v>
      </c>
      <c r="I382" s="269">
        <f ca="1">SUM($J$125:J382)/SUM($H$125:H382)</f>
        <v>0.54925548981317</v>
      </c>
      <c r="J382" s="284">
        <f t="shared" ref="J382:J445" si="195">LOG(K382*L382/$K$124/$L$124,1.07)-LOG(K381*L381/$K$124/$L$124,1.07)</f>
        <v>0.0868678357007298</v>
      </c>
      <c r="K382" s="19">
        <f t="shared" si="158"/>
        <v>26800</v>
      </c>
      <c r="L382" s="269">
        <f t="shared" si="190"/>
        <v>2.33999999999997</v>
      </c>
      <c r="M382" s="226">
        <f ca="1" t="shared" si="191"/>
        <v>60.192</v>
      </c>
      <c r="N382" s="280">
        <f ca="1" t="shared" ref="N382:N445" si="196">LOG(O382*Q382/($O$124*$Q$124),1.07)-LOG(O381*Q381/($O$124*$Q$124),1.07)</f>
        <v>0.130221780672493</v>
      </c>
      <c r="O382" s="226">
        <f t="shared" si="161"/>
        <v>26.4</v>
      </c>
      <c r="P382" s="19">
        <f ca="1" t="shared" si="165"/>
        <v>13.8</v>
      </c>
      <c r="Q382" s="226">
        <f ca="1" t="shared" si="160"/>
        <v>2.28</v>
      </c>
      <c r="R382" s="269">
        <f ca="1" t="shared" si="172"/>
        <v>0.637420468673217</v>
      </c>
      <c r="S382" s="266">
        <f ca="1" t="shared" si="173"/>
        <v>59.8823924501452</v>
      </c>
      <c r="T382" s="226">
        <f ca="1">(1+OFFSET('玩法产出(新)'!$C$18,MATCH(X382,'玩法产出(新)'!$B$19:$B$25,0),1)*(1-V382)+OFFSET('玩法产出(新)'!$C$18,1+MATCH(X382,'玩法产出(新)'!$B$19:$B$25,0),1)*(V382))^AA382*(1+OFFSET('玩法产出(新)'!$C$18,MATCH(X382,'玩法产出(新)'!$B$19:$B$25,0),3)*(1-V382)+OFFSET('玩法产出(新)'!$C$18,1+MATCH(X382,'玩法产出(新)'!$B$19:$B$25,0),3)*(V382))^AB382*(1+OFFSET('玩法产出(新)'!$C$18,MATCH(X382,'玩法产出(新)'!$B$19:$B$25,0),4)*(1-V382)+OFFSET('玩法产出(新)'!$C$18,1+MATCH(X382,'玩法产出(新)'!$B$19:$B$25,0),4)*(V382))^AC382*(1+OFFSET('玩法产出(新)'!$C$18,MATCH(X382,'玩法产出(新)'!$B$19:$B$25,0),5)*(1+V382)+OFFSET('玩法产出(新)'!$C$18,1+MATCH(X382,'玩法产出(新)'!$B$19:$B$25,5),1)*(V382))^AD382*(1+OFFSET('玩法产出(新)'!$C$18,MATCH(X382,'玩法产出(新)'!$B$19:$B$25,0),6)*(1+V382)+OFFSET('玩法产出(新)'!$C$18,1+MATCH(X382,'玩法产出(新)'!$B$19:$B$25,0),6)*(V382))^AE382</f>
        <v>57.4871670155063</v>
      </c>
      <c r="U382" s="226">
        <f ca="1" t="shared" si="192"/>
        <v>0.117819037247764</v>
      </c>
      <c r="V382" s="226">
        <f ca="1">COUNTIF($X$124:$X382,X382)/(COUNTIF($X$124:$X$723,X382)+1)</f>
        <v>0.294845360824742</v>
      </c>
      <c r="W382" s="19">
        <v>30</v>
      </c>
      <c r="X382" s="19" t="s">
        <v>326</v>
      </c>
      <c r="Y382" s="19">
        <f t="shared" si="159"/>
        <v>27060</v>
      </c>
      <c r="Z382" s="19">
        <f ca="1" t="shared" si="174"/>
        <v>0.814478232216495</v>
      </c>
      <c r="AA382" s="282">
        <f ca="1" t="shared" si="175"/>
        <v>4.741021875</v>
      </c>
      <c r="AB382" s="282">
        <f ca="1" t="shared" si="176"/>
        <v>18</v>
      </c>
      <c r="AC382" s="282">
        <f ca="1" t="shared" si="177"/>
        <v>5.53065</v>
      </c>
      <c r="AD382" s="282">
        <f ca="1" t="shared" si="178"/>
        <v>1.3826625</v>
      </c>
      <c r="AE382" s="282">
        <f ca="1" t="shared" si="179"/>
        <v>0.345665625</v>
      </c>
      <c r="AF382" s="19" t="str">
        <f t="shared" si="180"/>
        <v>彩1</v>
      </c>
      <c r="AG382" s="19">
        <f>IFERROR(_xlfn.XLOOKUP(C382+1,[2]基因升级!$E$141:$E$500,[2]基因升级!$D$141:$D$500)-1,AG381)</f>
        <v>96</v>
      </c>
      <c r="AH382" s="19">
        <v>7</v>
      </c>
      <c r="AI382" s="19">
        <f t="shared" si="181"/>
        <v>9.2039189417803</v>
      </c>
      <c r="AJ382" s="19">
        <f t="shared" si="193"/>
        <v>0</v>
      </c>
      <c r="AK382" s="269">
        <v>1.864</v>
      </c>
      <c r="AL382" s="287">
        <f t="shared" si="162"/>
        <v>11.9999999999999</v>
      </c>
      <c r="AM382" s="287">
        <f t="shared" si="163"/>
        <v>8.39999999999999</v>
      </c>
      <c r="AN382" s="287">
        <f t="shared" si="164"/>
        <v>4.75</v>
      </c>
      <c r="AO382" s="293"/>
      <c r="AQ382" s="19">
        <f t="shared" si="182"/>
        <v>2.25219158896081</v>
      </c>
      <c r="AR382" s="19">
        <f t="shared" si="183"/>
        <v>1.76532118296262</v>
      </c>
      <c r="AS382" s="19">
        <f t="shared" si="184"/>
        <v>1.3790275546803</v>
      </c>
      <c r="AT382" s="19">
        <f t="shared" si="185"/>
        <v>1</v>
      </c>
      <c r="AU382" s="19">
        <f t="shared" si="186"/>
        <v>1</v>
      </c>
      <c r="AV382" s="232">
        <f t="shared" si="166"/>
        <v>0.0399999999999991</v>
      </c>
      <c r="AW382" s="232">
        <f t="shared" si="167"/>
        <v>0.0399999999999991</v>
      </c>
      <c r="AX382" s="232">
        <f t="shared" si="168"/>
        <v>0.0499999999999998</v>
      </c>
      <c r="AY382" s="232">
        <f t="shared" si="169"/>
        <v>0</v>
      </c>
      <c r="AZ382" s="232">
        <f t="shared" si="170"/>
        <v>0</v>
      </c>
    </row>
    <row r="383" spans="1:52">
      <c r="A383" s="269"/>
      <c r="C383" s="19">
        <v>260</v>
      </c>
      <c r="D383" s="86">
        <f ca="1" t="shared" si="194"/>
        <v>197.197863322482</v>
      </c>
      <c r="E383" s="251">
        <f ca="1" t="shared" si="171"/>
        <v>0.333644064583673</v>
      </c>
      <c r="F383" s="269">
        <f ca="1" t="shared" si="187"/>
        <v>401.668327738223</v>
      </c>
      <c r="G383" s="283">
        <f ca="1" t="shared" si="188"/>
        <v>134.014253481108</v>
      </c>
      <c r="H383" s="279">
        <f ca="1" t="shared" si="189"/>
        <v>0.215679028735224</v>
      </c>
      <c r="I383" s="269">
        <f ca="1">SUM($J$125:J383)/SUM($H$125:H383)</f>
        <v>0.548998516772066</v>
      </c>
      <c r="J383" s="284">
        <f t="shared" si="195"/>
        <v>0.0865945707130464</v>
      </c>
      <c r="K383" s="19">
        <f t="shared" si="158"/>
        <v>26900</v>
      </c>
      <c r="L383" s="269">
        <f t="shared" si="190"/>
        <v>2.34499999999997</v>
      </c>
      <c r="M383" s="226">
        <f ca="1" t="shared" si="191"/>
        <v>60.72</v>
      </c>
      <c r="N383" s="280">
        <f ca="1" t="shared" si="196"/>
        <v>0.12908445802217</v>
      </c>
      <c r="O383" s="226">
        <f t="shared" si="161"/>
        <v>26.4</v>
      </c>
      <c r="P383" s="19">
        <f ca="1" t="shared" si="165"/>
        <v>14</v>
      </c>
      <c r="Q383" s="226">
        <f ca="1" t="shared" si="160"/>
        <v>2.3</v>
      </c>
      <c r="R383" s="269">
        <f ca="1" t="shared" si="172"/>
        <v>0.638676152111386</v>
      </c>
      <c r="S383" s="266">
        <f ca="1" t="shared" si="173"/>
        <v>60.0003574859937</v>
      </c>
      <c r="T383" s="226">
        <f ca="1">(1+OFFSET('玩法产出(新)'!$C$18,MATCH(X383,'玩法产出(新)'!$B$19:$B$25,0),1)*(1-V383)+OFFSET('玩法产出(新)'!$C$18,1+MATCH(X383,'玩法产出(新)'!$B$19:$B$25,0),1)*(V383))^AA383*(1+OFFSET('玩法产出(新)'!$C$18,MATCH(X383,'玩法产出(新)'!$B$19:$B$25,0),3)*(1-V383)+OFFSET('玩法产出(新)'!$C$18,1+MATCH(X383,'玩法产出(新)'!$B$19:$B$25,0),3)*(V383))^AB383*(1+OFFSET('玩法产出(新)'!$C$18,MATCH(X383,'玩法产出(新)'!$B$19:$B$25,0),4)*(1-V383)+OFFSET('玩法产出(新)'!$C$18,1+MATCH(X383,'玩法产出(新)'!$B$19:$B$25,0),4)*(V383))^AC383*(1+OFFSET('玩法产出(新)'!$C$18,MATCH(X383,'玩法产出(新)'!$B$19:$B$25,0),5)*(1+V383)+OFFSET('玩法产出(新)'!$C$18,1+MATCH(X383,'玩法产出(新)'!$B$19:$B$25,5),1)*(V383))^AD383*(1+OFFSET('玩法产出(新)'!$C$18,MATCH(X383,'玩法产出(新)'!$B$19:$B$25,0),6)*(1+V383)+OFFSET('玩法产出(新)'!$C$18,1+MATCH(X383,'玩法产出(新)'!$B$19:$B$25,0),6)*(V383))^AE383</f>
        <v>57.9478284028207</v>
      </c>
      <c r="U383" s="226">
        <f ca="1" t="shared" si="192"/>
        <v>0.117965035848457</v>
      </c>
      <c r="V383" s="226">
        <f ca="1">COUNTIF($X$124:$X383,X383)/(COUNTIF($X$124:$X$723,X383)+1)</f>
        <v>0.296907216494845</v>
      </c>
      <c r="W383" s="19">
        <v>30</v>
      </c>
      <c r="X383" s="19" t="s">
        <v>326</v>
      </c>
      <c r="Y383" s="19">
        <f t="shared" si="159"/>
        <v>27160</v>
      </c>
      <c r="Z383" s="19">
        <f ca="1" t="shared" si="174"/>
        <v>0.810165742268041</v>
      </c>
      <c r="AA383" s="282">
        <f ca="1" t="shared" si="175"/>
        <v>4.71365625</v>
      </c>
      <c r="AB383" s="282">
        <f ca="1" t="shared" si="176"/>
        <v>18</v>
      </c>
      <c r="AC383" s="282">
        <f ca="1" t="shared" si="177"/>
        <v>5.5515</v>
      </c>
      <c r="AD383" s="282">
        <f ca="1" t="shared" si="178"/>
        <v>1.387875</v>
      </c>
      <c r="AE383" s="282">
        <f ca="1" t="shared" si="179"/>
        <v>0.34696875</v>
      </c>
      <c r="AF383" s="19" t="str">
        <f t="shared" si="180"/>
        <v>彩1</v>
      </c>
      <c r="AG383" s="19">
        <f>IFERROR(_xlfn.XLOOKUP(C383+1,[2]基因升级!$E$141:$E$500,[2]基因升级!$D$141:$D$500)-1,AG382)</f>
        <v>96</v>
      </c>
      <c r="AH383" s="19">
        <v>7</v>
      </c>
      <c r="AI383" s="19">
        <f t="shared" si="181"/>
        <v>9.2039189417803</v>
      </c>
      <c r="AJ383" s="19">
        <f t="shared" si="193"/>
        <v>0</v>
      </c>
      <c r="AK383" s="269">
        <v>1.864</v>
      </c>
      <c r="AL383" s="287">
        <f t="shared" si="162"/>
        <v>12.0399999999999</v>
      </c>
      <c r="AM383" s="287">
        <f t="shared" si="163"/>
        <v>8.43999999999999</v>
      </c>
      <c r="AN383" s="287">
        <f t="shared" si="164"/>
        <v>4.8</v>
      </c>
      <c r="AO383" s="293"/>
      <c r="AQ383" s="19">
        <f t="shared" si="182"/>
        <v>2.25829505383973</v>
      </c>
      <c r="AR383" s="19">
        <f t="shared" si="183"/>
        <v>1.77010522349142</v>
      </c>
      <c r="AS383" s="19">
        <f t="shared" si="184"/>
        <v>1.3837006115694</v>
      </c>
      <c r="AT383" s="19">
        <f t="shared" si="185"/>
        <v>1</v>
      </c>
      <c r="AU383" s="19">
        <f t="shared" si="186"/>
        <v>1</v>
      </c>
      <c r="AV383" s="232">
        <f t="shared" si="166"/>
        <v>0.0399999999999991</v>
      </c>
      <c r="AW383" s="232">
        <f t="shared" si="167"/>
        <v>0.0399999999999991</v>
      </c>
      <c r="AX383" s="232">
        <f t="shared" si="168"/>
        <v>0.0499999999999998</v>
      </c>
      <c r="AY383" s="232">
        <f t="shared" si="169"/>
        <v>0</v>
      </c>
      <c r="AZ383" s="232">
        <f t="shared" si="170"/>
        <v>0</v>
      </c>
    </row>
    <row r="384" spans="1:52">
      <c r="A384" s="269"/>
      <c r="C384" s="19">
        <v>261</v>
      </c>
      <c r="D384" s="86">
        <f ca="1" t="shared" si="194"/>
        <v>197.530264217397</v>
      </c>
      <c r="E384" s="251">
        <f ca="1" t="shared" si="171"/>
        <v>0.332400894914602</v>
      </c>
      <c r="F384" s="269">
        <f ca="1" t="shared" si="187"/>
        <v>403.815228793464</v>
      </c>
      <c r="G384" s="283">
        <f ca="1" t="shared" si="188"/>
        <v>134.228543431092</v>
      </c>
      <c r="H384" s="279">
        <f ca="1" t="shared" si="189"/>
        <v>0.214289949984504</v>
      </c>
      <c r="I384" s="269">
        <f ca="1">SUM($J$125:J384)/SUM($H$125:H384)</f>
        <v>0.548746386758352</v>
      </c>
      <c r="J384" s="284">
        <f t="shared" si="195"/>
        <v>0.0863231203416746</v>
      </c>
      <c r="K384" s="19">
        <f t="shared" si="158"/>
        <v>27000</v>
      </c>
      <c r="L384" s="269">
        <f t="shared" si="190"/>
        <v>2.34999999999997</v>
      </c>
      <c r="M384" s="226">
        <f ca="1" t="shared" si="191"/>
        <v>61.248</v>
      </c>
      <c r="N384" s="280">
        <f ca="1" t="shared" si="196"/>
        <v>0.127966829642851</v>
      </c>
      <c r="O384" s="226">
        <f t="shared" si="161"/>
        <v>26.4</v>
      </c>
      <c r="P384" s="19">
        <f ca="1" t="shared" si="165"/>
        <v>14.2</v>
      </c>
      <c r="Q384" s="226">
        <f ca="1" t="shared" si="160"/>
        <v>2.32</v>
      </c>
      <c r="R384" s="269">
        <f ca="1" t="shared" si="172"/>
        <v>0.639933388684481</v>
      </c>
      <c r="S384" s="266">
        <f ca="1" t="shared" si="173"/>
        <v>60.1184684309237</v>
      </c>
      <c r="T384" s="226">
        <f ca="1">(1+OFFSET('玩法产出(新)'!$C$18,MATCH(X384,'玩法产出(新)'!$B$19:$B$25,0),1)*(1-V384)+OFFSET('玩法产出(新)'!$C$18,1+MATCH(X384,'玩法产出(新)'!$B$19:$B$25,0),1)*(V384))^AA384*(1+OFFSET('玩法产出(新)'!$C$18,MATCH(X384,'玩法产出(新)'!$B$19:$B$25,0),3)*(1-V384)+OFFSET('玩法产出(新)'!$C$18,1+MATCH(X384,'玩法产出(新)'!$B$19:$B$25,0),3)*(V384))^AB384*(1+OFFSET('玩法产出(新)'!$C$18,MATCH(X384,'玩法产出(新)'!$B$19:$B$25,0),4)*(1-V384)+OFFSET('玩法产出(新)'!$C$18,1+MATCH(X384,'玩法产出(新)'!$B$19:$B$25,0),4)*(V384))^AC384*(1+OFFSET('玩法产出(新)'!$C$18,MATCH(X384,'玩法产出(新)'!$B$19:$B$25,0),5)*(1+V384)+OFFSET('玩法产出(新)'!$C$18,1+MATCH(X384,'玩法产出(新)'!$B$19:$B$25,5),1)*(V384))^AD384*(1+OFFSET('玩法产出(新)'!$C$18,MATCH(X384,'玩法产出(新)'!$B$19:$B$25,0),6)*(1+V384)+OFFSET('玩法产出(新)'!$C$18,1+MATCH(X384,'玩法产出(新)'!$B$19:$B$25,0),6)*(V384))^AE384</f>
        <v>58.4127578523551</v>
      </c>
      <c r="U384" s="226">
        <f ca="1" t="shared" si="192"/>
        <v>0.118110944930077</v>
      </c>
      <c r="V384" s="226">
        <f ca="1">COUNTIF($X$124:$X384,X384)/(COUNTIF($X$124:$X$723,X384)+1)</f>
        <v>0.298969072164948</v>
      </c>
      <c r="W384" s="19">
        <v>30</v>
      </c>
      <c r="X384" s="19" t="s">
        <v>326</v>
      </c>
      <c r="Y384" s="19">
        <f t="shared" si="159"/>
        <v>27260</v>
      </c>
      <c r="Z384" s="19">
        <f ca="1" t="shared" si="174"/>
        <v>0.805848738402062</v>
      </c>
      <c r="AA384" s="282">
        <f ca="1" t="shared" si="175"/>
        <v>4.686290625</v>
      </c>
      <c r="AB384" s="282">
        <f ca="1" t="shared" si="176"/>
        <v>18</v>
      </c>
      <c r="AC384" s="282">
        <f ca="1" t="shared" si="177"/>
        <v>5.57235</v>
      </c>
      <c r="AD384" s="282">
        <f ca="1" t="shared" si="178"/>
        <v>1.3930875</v>
      </c>
      <c r="AE384" s="282">
        <f ca="1" t="shared" si="179"/>
        <v>0.348271875</v>
      </c>
      <c r="AF384" s="19" t="str">
        <f t="shared" si="180"/>
        <v>彩1</v>
      </c>
      <c r="AG384" s="19">
        <f>IFERROR(_xlfn.XLOOKUP(C384+1,[2]基因升级!$E$141:$E$500,[2]基因升级!$D$141:$D$500)-1,AG383)</f>
        <v>96</v>
      </c>
      <c r="AH384" s="19">
        <v>7</v>
      </c>
      <c r="AI384" s="19">
        <f t="shared" si="181"/>
        <v>9.2039189417803</v>
      </c>
      <c r="AJ384" s="19">
        <f t="shared" si="193"/>
        <v>0</v>
      </c>
      <c r="AK384" s="269">
        <v>1.864</v>
      </c>
      <c r="AL384" s="287">
        <f t="shared" si="162"/>
        <v>12.0799999999999</v>
      </c>
      <c r="AM384" s="287">
        <f t="shared" si="163"/>
        <v>8.47999999999999</v>
      </c>
      <c r="AN384" s="287">
        <f t="shared" si="164"/>
        <v>4.85</v>
      </c>
      <c r="AO384" s="293"/>
      <c r="AQ384" s="19">
        <f t="shared" si="182"/>
        <v>2.26441505917804</v>
      </c>
      <c r="AR384" s="19">
        <f t="shared" si="183"/>
        <v>1.77490222882459</v>
      </c>
      <c r="AS384" s="19">
        <f t="shared" si="184"/>
        <v>1.38838950386411</v>
      </c>
      <c r="AT384" s="19">
        <f t="shared" si="185"/>
        <v>1</v>
      </c>
      <c r="AU384" s="19">
        <f t="shared" si="186"/>
        <v>1</v>
      </c>
      <c r="AV384" s="232">
        <f t="shared" si="166"/>
        <v>0.0399999999999991</v>
      </c>
      <c r="AW384" s="232">
        <f t="shared" si="167"/>
        <v>0.0399999999999991</v>
      </c>
      <c r="AX384" s="232">
        <f t="shared" si="168"/>
        <v>0.0499999999999998</v>
      </c>
      <c r="AY384" s="232">
        <f t="shared" si="169"/>
        <v>0</v>
      </c>
      <c r="AZ384" s="232">
        <f t="shared" si="170"/>
        <v>0</v>
      </c>
    </row>
    <row r="385" spans="1:52">
      <c r="A385" s="269"/>
      <c r="C385" s="19">
        <v>262</v>
      </c>
      <c r="D385" s="86">
        <f ca="1" t="shared" si="194"/>
        <v>197.8614428362</v>
      </c>
      <c r="E385" s="251">
        <f ca="1" t="shared" si="171"/>
        <v>0.331178618802885</v>
      </c>
      <c r="F385" s="269">
        <f ca="1" t="shared" si="187"/>
        <v>405.948505284699</v>
      </c>
      <c r="G385" s="283">
        <f ca="1" t="shared" si="188"/>
        <v>134.441465285282</v>
      </c>
      <c r="H385" s="279">
        <f ca="1" t="shared" si="189"/>
        <v>0.212921854189972</v>
      </c>
      <c r="I385" s="269">
        <f ca="1">SUM($J$125:J385)/SUM($H$125:H385)</f>
        <v>0.548498988254473</v>
      </c>
      <c r="J385" s="284">
        <f t="shared" si="195"/>
        <v>0.0860534658166046</v>
      </c>
      <c r="K385" s="19">
        <f t="shared" si="158"/>
        <v>27100</v>
      </c>
      <c r="L385" s="269">
        <f t="shared" si="190"/>
        <v>2.35499999999997</v>
      </c>
      <c r="M385" s="226">
        <f ca="1" t="shared" si="191"/>
        <v>61.776</v>
      </c>
      <c r="N385" s="280">
        <f ca="1" t="shared" si="196"/>
        <v>0.126868388373346</v>
      </c>
      <c r="O385" s="226">
        <f t="shared" si="161"/>
        <v>26.4</v>
      </c>
      <c r="P385" s="19">
        <f ca="1" t="shared" si="165"/>
        <v>14.4</v>
      </c>
      <c r="Q385" s="226">
        <f ca="1" t="shared" si="160"/>
        <v>2.34</v>
      </c>
      <c r="R385" s="269">
        <f ca="1" t="shared" si="172"/>
        <v>0.641192177440894</v>
      </c>
      <c r="S385" s="266">
        <f ca="1" t="shared" si="173"/>
        <v>60.2367251955367</v>
      </c>
      <c r="T385" s="226">
        <f ca="1">(1+OFFSET('玩法产出(新)'!$C$18,MATCH(X385,'玩法产出(新)'!$B$19:$B$25,0),1)*(1-V385)+OFFSET('玩法产出(新)'!$C$18,1+MATCH(X385,'玩法产出(新)'!$B$19:$B$25,0),1)*(V385))^AA385*(1+OFFSET('玩法产出(新)'!$C$18,MATCH(X385,'玩法产出(新)'!$B$19:$B$25,0),3)*(1-V385)+OFFSET('玩法产出(新)'!$C$18,1+MATCH(X385,'玩法产出(新)'!$B$19:$B$25,0),3)*(V385))^AB385*(1+OFFSET('玩法产出(新)'!$C$18,MATCH(X385,'玩法产出(新)'!$B$19:$B$25,0),4)*(1-V385)+OFFSET('玩法产出(新)'!$C$18,1+MATCH(X385,'玩法产出(新)'!$B$19:$B$25,0),4)*(V385))^AC385*(1+OFFSET('玩法产出(新)'!$C$18,MATCH(X385,'玩法产出(新)'!$B$19:$B$25,0),5)*(1+V385)+OFFSET('玩法产出(新)'!$C$18,1+MATCH(X385,'玩法产出(新)'!$B$19:$B$25,5),1)*(V385))^AD385*(1+OFFSET('玩法产出(新)'!$C$18,MATCH(X385,'玩法产出(新)'!$B$19:$B$25,0),6)*(1+V385)+OFFSET('玩法产出(新)'!$C$18,1+MATCH(X385,'玩法产出(新)'!$B$19:$B$25,0),6)*(V385))^AE385</f>
        <v>58.8819984680998</v>
      </c>
      <c r="U385" s="226">
        <f ca="1" t="shared" si="192"/>
        <v>0.118256764612934</v>
      </c>
      <c r="V385" s="226">
        <f ca="1">COUNTIF($X$124:$X385,X385)/(COUNTIF($X$124:$X$723,X385)+1)</f>
        <v>0.301030927835052</v>
      </c>
      <c r="W385" s="19">
        <v>30</v>
      </c>
      <c r="X385" s="19" t="s">
        <v>326</v>
      </c>
      <c r="Y385" s="19">
        <f t="shared" si="159"/>
        <v>27360</v>
      </c>
      <c r="Z385" s="19">
        <f ca="1" t="shared" si="174"/>
        <v>0.801527220618557</v>
      </c>
      <c r="AA385" s="282">
        <f ca="1" t="shared" si="175"/>
        <v>4.658925</v>
      </c>
      <c r="AB385" s="282">
        <f ca="1" t="shared" si="176"/>
        <v>18</v>
      </c>
      <c r="AC385" s="282">
        <f ca="1" t="shared" si="177"/>
        <v>5.5932</v>
      </c>
      <c r="AD385" s="282">
        <f ca="1" t="shared" si="178"/>
        <v>1.3983</v>
      </c>
      <c r="AE385" s="282">
        <f ca="1" t="shared" si="179"/>
        <v>0.349575</v>
      </c>
      <c r="AF385" s="19" t="str">
        <f t="shared" si="180"/>
        <v>彩1</v>
      </c>
      <c r="AG385" s="19">
        <f>IFERROR(_xlfn.XLOOKUP(C385+1,[2]基因升级!$E$141:$E$500,[2]基因升级!$D$141:$D$500)-1,AG384)</f>
        <v>96</v>
      </c>
      <c r="AH385" s="19">
        <v>7</v>
      </c>
      <c r="AI385" s="19">
        <f t="shared" si="181"/>
        <v>9.2039189417803</v>
      </c>
      <c r="AJ385" s="19">
        <f t="shared" si="193"/>
        <v>0</v>
      </c>
      <c r="AK385" s="269">
        <v>1.864</v>
      </c>
      <c r="AL385" s="287">
        <f t="shared" si="162"/>
        <v>12.1199999999999</v>
      </c>
      <c r="AM385" s="287">
        <f t="shared" si="163"/>
        <v>8.51999999999999</v>
      </c>
      <c r="AN385" s="287">
        <f t="shared" si="164"/>
        <v>4.9</v>
      </c>
      <c r="AO385" s="293"/>
      <c r="AQ385" s="19">
        <f t="shared" si="182"/>
        <v>2.27055164980058</v>
      </c>
      <c r="AR385" s="19">
        <f t="shared" si="183"/>
        <v>1.7797122340969</v>
      </c>
      <c r="AS385" s="19">
        <f t="shared" si="184"/>
        <v>1.39309428522527</v>
      </c>
      <c r="AT385" s="19">
        <f t="shared" si="185"/>
        <v>1</v>
      </c>
      <c r="AU385" s="19">
        <f t="shared" si="186"/>
        <v>1</v>
      </c>
      <c r="AV385" s="232">
        <f t="shared" si="166"/>
        <v>0.0399999999999991</v>
      </c>
      <c r="AW385" s="232">
        <f t="shared" si="167"/>
        <v>0.0399999999999991</v>
      </c>
      <c r="AX385" s="232">
        <f t="shared" si="168"/>
        <v>0.0499999999999998</v>
      </c>
      <c r="AY385" s="232">
        <f t="shared" si="169"/>
        <v>0</v>
      </c>
      <c r="AZ385" s="232">
        <f t="shared" si="170"/>
        <v>0</v>
      </c>
    </row>
    <row r="386" spans="1:52">
      <c r="A386" s="269"/>
      <c r="C386" s="19">
        <v>263</v>
      </c>
      <c r="D386" s="86">
        <f ca="1" t="shared" si="194"/>
        <v>198.191419564168</v>
      </c>
      <c r="E386" s="251">
        <f ca="1" t="shared" si="171"/>
        <v>0.329976727967974</v>
      </c>
      <c r="F386" s="269">
        <f ca="1" t="shared" si="187"/>
        <v>408.068291201742</v>
      </c>
      <c r="G386" s="283">
        <f ca="1" t="shared" si="188"/>
        <v>134.653039518233</v>
      </c>
      <c r="H386" s="279">
        <f ca="1" t="shared" si="189"/>
        <v>0.211574232950909</v>
      </c>
      <c r="I386" s="269">
        <f ca="1">SUM($J$125:J386)/SUM($H$125:H386)</f>
        <v>0.548256213074675</v>
      </c>
      <c r="J386" s="284">
        <f t="shared" si="195"/>
        <v>0.0857855886329304</v>
      </c>
      <c r="K386" s="19">
        <f t="shared" ref="K386:K449" si="197">K385+100</f>
        <v>27200</v>
      </c>
      <c r="L386" s="269">
        <f t="shared" si="190"/>
        <v>2.35999999999997</v>
      </c>
      <c r="M386" s="226">
        <f ca="1" t="shared" si="191"/>
        <v>62.304</v>
      </c>
      <c r="N386" s="280">
        <f ca="1" t="shared" si="196"/>
        <v>0.125788644317993</v>
      </c>
      <c r="O386" s="226">
        <f t="shared" si="161"/>
        <v>26.4</v>
      </c>
      <c r="P386" s="19">
        <f ca="1" t="shared" si="165"/>
        <v>14.6</v>
      </c>
      <c r="Q386" s="226">
        <f ca="1" t="shared" si="160"/>
        <v>2.36</v>
      </c>
      <c r="R386" s="269">
        <f ca="1" t="shared" si="172"/>
        <v>0.642452517430294</v>
      </c>
      <c r="S386" s="266">
        <f ca="1" t="shared" si="173"/>
        <v>60.3551276905537</v>
      </c>
      <c r="T386" s="226">
        <f ca="1">(1+OFFSET('玩法产出(新)'!$C$18,MATCH(X386,'玩法产出(新)'!$B$19:$B$25,0),1)*(1-V386)+OFFSET('玩法产出(新)'!$C$18,1+MATCH(X386,'玩法产出(新)'!$B$19:$B$25,0),1)*(V386))^AA386*(1+OFFSET('玩法产出(新)'!$C$18,MATCH(X386,'玩法产出(新)'!$B$19:$B$25,0),3)*(1-V386)+OFFSET('玩法产出(新)'!$C$18,1+MATCH(X386,'玩法产出(新)'!$B$19:$B$25,0),3)*(V386))^AB386*(1+OFFSET('玩法产出(新)'!$C$18,MATCH(X386,'玩法产出(新)'!$B$19:$B$25,0),4)*(1-V386)+OFFSET('玩法产出(新)'!$C$18,1+MATCH(X386,'玩法产出(新)'!$B$19:$B$25,0),4)*(V386))^AC386*(1+OFFSET('玩法产出(新)'!$C$18,MATCH(X386,'玩法产出(新)'!$B$19:$B$25,0),5)*(1+V386)+OFFSET('玩法产出(新)'!$C$18,1+MATCH(X386,'玩法产出(新)'!$B$19:$B$25,5),1)*(V386))^AD386*(1+OFFSET('玩法产出(新)'!$C$18,MATCH(X386,'玩法产出(新)'!$B$19:$B$25,0),6)*(1+V386)+OFFSET('玩法产出(新)'!$C$18,1+MATCH(X386,'玩法产出(新)'!$B$19:$B$25,0),6)*(V386))^AE386</f>
        <v>59.3555938201799</v>
      </c>
      <c r="U386" s="226">
        <f ca="1" t="shared" si="192"/>
        <v>0.11840249501705</v>
      </c>
      <c r="V386" s="226">
        <f ca="1">COUNTIF($X$124:$X386,X386)/(COUNTIF($X$124:$X$723,X386)+1)</f>
        <v>0.303092783505155</v>
      </c>
      <c r="W386" s="19">
        <v>30</v>
      </c>
      <c r="X386" s="19" t="s">
        <v>326</v>
      </c>
      <c r="Y386" s="19">
        <f t="shared" si="159"/>
        <v>27460</v>
      </c>
      <c r="Z386" s="19">
        <f ca="1" t="shared" si="174"/>
        <v>0.797201188917525</v>
      </c>
      <c r="AA386" s="282">
        <f ca="1" t="shared" si="175"/>
        <v>4.631559375</v>
      </c>
      <c r="AB386" s="282">
        <f ca="1" t="shared" si="176"/>
        <v>18</v>
      </c>
      <c r="AC386" s="282">
        <f ca="1" t="shared" si="177"/>
        <v>5.61405</v>
      </c>
      <c r="AD386" s="282">
        <f ca="1" t="shared" si="178"/>
        <v>1.4035125</v>
      </c>
      <c r="AE386" s="282">
        <f ca="1" t="shared" si="179"/>
        <v>0.350878125</v>
      </c>
      <c r="AF386" s="19" t="str">
        <f t="shared" si="180"/>
        <v>彩1</v>
      </c>
      <c r="AG386" s="19">
        <f>IFERROR(_xlfn.XLOOKUP(C386+1,[2]基因升级!$E$141:$E$500,[2]基因升级!$D$141:$D$500)-1,AG385)</f>
        <v>96</v>
      </c>
      <c r="AH386" s="19">
        <v>7</v>
      </c>
      <c r="AI386" s="19">
        <f t="shared" si="181"/>
        <v>9.2039189417803</v>
      </c>
      <c r="AJ386" s="19">
        <f t="shared" si="193"/>
        <v>0</v>
      </c>
      <c r="AK386" s="269">
        <v>1.864</v>
      </c>
      <c r="AL386" s="287">
        <f t="shared" si="162"/>
        <v>12.1599999999999</v>
      </c>
      <c r="AM386" s="287">
        <f t="shared" si="163"/>
        <v>8.55999999999999</v>
      </c>
      <c r="AN386" s="287">
        <f t="shared" si="164"/>
        <v>4.95</v>
      </c>
      <c r="AO386" s="293"/>
      <c r="AQ386" s="19">
        <f t="shared" si="182"/>
        <v>2.27670487065366</v>
      </c>
      <c r="AR386" s="19">
        <f t="shared" si="183"/>
        <v>1.78453527453832</v>
      </c>
      <c r="AS386" s="19">
        <f t="shared" si="184"/>
        <v>1.39781500949553</v>
      </c>
      <c r="AT386" s="19">
        <f t="shared" si="185"/>
        <v>1</v>
      </c>
      <c r="AU386" s="19">
        <f t="shared" si="186"/>
        <v>1</v>
      </c>
      <c r="AV386" s="232">
        <f t="shared" si="166"/>
        <v>0.0399999999999991</v>
      </c>
      <c r="AW386" s="232">
        <f t="shared" si="167"/>
        <v>0.0399999999999991</v>
      </c>
      <c r="AX386" s="232">
        <f t="shared" si="168"/>
        <v>0.0499999999999998</v>
      </c>
      <c r="AY386" s="232">
        <f t="shared" si="169"/>
        <v>0</v>
      </c>
      <c r="AZ386" s="232">
        <f t="shared" si="170"/>
        <v>0</v>
      </c>
    </row>
    <row r="387" spans="1:52">
      <c r="A387" s="269"/>
      <c r="C387" s="19">
        <v>264</v>
      </c>
      <c r="D387" s="86">
        <f ca="1" t="shared" si="194"/>
        <v>198.520214295094</v>
      </c>
      <c r="E387" s="251">
        <f ca="1" t="shared" si="171"/>
        <v>0.328794730926323</v>
      </c>
      <c r="F387" s="269">
        <f ca="1" t="shared" si="187"/>
        <v>410.174718229039</v>
      </c>
      <c r="G387" s="283">
        <f ca="1" t="shared" si="188"/>
        <v>134.863286112897</v>
      </c>
      <c r="H387" s="279">
        <f ca="1" t="shared" si="189"/>
        <v>0.210246594664227</v>
      </c>
      <c r="I387" s="269">
        <f ca="1">SUM($J$125:J387)/SUM($H$125:H387)</f>
        <v>0.548017956240481</v>
      </c>
      <c r="J387" s="284">
        <f t="shared" si="195"/>
        <v>0.085519470546032</v>
      </c>
      <c r="K387" s="19">
        <f t="shared" si="197"/>
        <v>27300</v>
      </c>
      <c r="L387" s="269">
        <f t="shared" si="190"/>
        <v>2.36499999999997</v>
      </c>
      <c r="M387" s="226">
        <f ca="1" t="shared" si="191"/>
        <v>62.8319999999999</v>
      </c>
      <c r="N387" s="280">
        <f ca="1" t="shared" si="196"/>
        <v>0.124727124118216</v>
      </c>
      <c r="O387" s="226">
        <f t="shared" si="161"/>
        <v>26.4</v>
      </c>
      <c r="P387" s="19">
        <f ca="1" t="shared" si="165"/>
        <v>14.8</v>
      </c>
      <c r="Q387" s="226">
        <f ca="1" t="shared" si="160"/>
        <v>2.38</v>
      </c>
      <c r="R387" s="269">
        <f ca="1" t="shared" si="172"/>
        <v>0.643714407703623</v>
      </c>
      <c r="S387" s="266">
        <f ca="1" t="shared" si="173"/>
        <v>60.4736758268158</v>
      </c>
      <c r="T387" s="226">
        <f ca="1">(1+OFFSET('玩法产出(新)'!$C$18,MATCH(X387,'玩法产出(新)'!$B$19:$B$25,0),1)*(1-V387)+OFFSET('玩法产出(新)'!$C$18,1+MATCH(X387,'玩法产出(新)'!$B$19:$B$25,0),1)*(V387))^AA387*(1+OFFSET('玩法产出(新)'!$C$18,MATCH(X387,'玩法产出(新)'!$B$19:$B$25,0),3)*(1-V387)+OFFSET('玩法产出(新)'!$C$18,1+MATCH(X387,'玩法产出(新)'!$B$19:$B$25,0),3)*(V387))^AB387*(1+OFFSET('玩法产出(新)'!$C$18,MATCH(X387,'玩法产出(新)'!$B$19:$B$25,0),4)*(1-V387)+OFFSET('玩法产出(新)'!$C$18,1+MATCH(X387,'玩法产出(新)'!$B$19:$B$25,0),4)*(V387))^AC387*(1+OFFSET('玩法产出(新)'!$C$18,MATCH(X387,'玩法产出(新)'!$B$19:$B$25,0),5)*(1+V387)+OFFSET('玩法产出(新)'!$C$18,1+MATCH(X387,'玩法产出(新)'!$B$19:$B$25,5),1)*(V387))^AD387*(1+OFFSET('玩法产出(新)'!$C$18,MATCH(X387,'玩法产出(新)'!$B$19:$B$25,0),6)*(1+V387)+OFFSET('玩法产出(新)'!$C$18,1+MATCH(X387,'玩法产出(新)'!$B$19:$B$25,0),6)*(V387))^AE387</f>
        <v>59.8335879501819</v>
      </c>
      <c r="U387" s="226">
        <f ca="1" t="shared" si="192"/>
        <v>0.118548136262075</v>
      </c>
      <c r="V387" s="226">
        <f ca="1">COUNTIF($X$124:$X387,X387)/(COUNTIF($X$124:$X$723,X387)+1)</f>
        <v>0.305154639175258</v>
      </c>
      <c r="W387" s="19">
        <v>30</v>
      </c>
      <c r="X387" s="19" t="s">
        <v>326</v>
      </c>
      <c r="Y387" s="19">
        <f t="shared" ref="Y387:Y450" si="198">Y386+100</f>
        <v>27560</v>
      </c>
      <c r="Z387" s="19">
        <f ca="1" t="shared" si="174"/>
        <v>0.792870643298969</v>
      </c>
      <c r="AA387" s="282">
        <f ca="1" t="shared" si="175"/>
        <v>4.60419375</v>
      </c>
      <c r="AB387" s="282">
        <f ca="1" t="shared" si="176"/>
        <v>18</v>
      </c>
      <c r="AC387" s="282">
        <f ca="1" t="shared" si="177"/>
        <v>5.6349</v>
      </c>
      <c r="AD387" s="282">
        <f ca="1" t="shared" si="178"/>
        <v>1.408725</v>
      </c>
      <c r="AE387" s="282">
        <f ca="1" t="shared" si="179"/>
        <v>0.35218125</v>
      </c>
      <c r="AF387" s="19" t="str">
        <f t="shared" si="180"/>
        <v>彩1</v>
      </c>
      <c r="AG387" s="19">
        <f>IFERROR(_xlfn.XLOOKUP(C387+1,[2]基因升级!$E$141:$E$500,[2]基因升级!$D$141:$D$500)-1,AG386)</f>
        <v>96</v>
      </c>
      <c r="AH387" s="19">
        <v>7</v>
      </c>
      <c r="AI387" s="19">
        <f t="shared" si="181"/>
        <v>9.2039189417803</v>
      </c>
      <c r="AJ387" s="19">
        <f t="shared" si="193"/>
        <v>0</v>
      </c>
      <c r="AK387" s="269">
        <v>1.864</v>
      </c>
      <c r="AL387" s="287">
        <f t="shared" si="162"/>
        <v>12.1999999999999</v>
      </c>
      <c r="AM387" s="287">
        <f t="shared" si="163"/>
        <v>8.59999999999999</v>
      </c>
      <c r="AN387" s="287">
        <f t="shared" si="164"/>
        <v>5</v>
      </c>
      <c r="AO387" s="293"/>
      <c r="AQ387" s="19">
        <f t="shared" si="182"/>
        <v>2.2828747668054</v>
      </c>
      <c r="AR387" s="19">
        <f t="shared" si="183"/>
        <v>1.78937138547432</v>
      </c>
      <c r="AS387" s="19">
        <f t="shared" si="184"/>
        <v>1.4025517307</v>
      </c>
      <c r="AT387" s="19">
        <f t="shared" si="185"/>
        <v>1</v>
      </c>
      <c r="AU387" s="19">
        <f t="shared" si="186"/>
        <v>1</v>
      </c>
      <c r="AV387" s="232">
        <f t="shared" si="166"/>
        <v>0.0399999999999991</v>
      </c>
      <c r="AW387" s="232">
        <f t="shared" si="167"/>
        <v>0.0399999999999991</v>
      </c>
      <c r="AX387" s="232">
        <f t="shared" si="168"/>
        <v>0.0499999999999998</v>
      </c>
      <c r="AY387" s="232">
        <f t="shared" si="169"/>
        <v>0</v>
      </c>
      <c r="AZ387" s="232">
        <f t="shared" si="170"/>
        <v>0</v>
      </c>
    </row>
    <row r="388" spans="1:52">
      <c r="A388" s="269"/>
      <c r="C388" s="19">
        <v>265</v>
      </c>
      <c r="D388" s="86">
        <f ca="1" t="shared" si="194"/>
        <v>198.847846447389</v>
      </c>
      <c r="E388" s="251">
        <f ca="1" t="shared" si="171"/>
        <v>0.327632152295261</v>
      </c>
      <c r="F388" s="269">
        <f ca="1" t="shared" si="187"/>
        <v>412.267915802715</v>
      </c>
      <c r="G388" s="283">
        <f ca="1" t="shared" si="188"/>
        <v>135.072224576725</v>
      </c>
      <c r="H388" s="279">
        <f ca="1" t="shared" si="189"/>
        <v>0.208938463827621</v>
      </c>
      <c r="I388" s="269">
        <f ca="1">SUM($J$125:J388)/SUM($H$125:H388)</f>
        <v>0.547784115861781</v>
      </c>
      <c r="J388" s="284">
        <f t="shared" si="195"/>
        <v>0.0852550935670138</v>
      </c>
      <c r="K388" s="19">
        <f t="shared" si="197"/>
        <v>27400</v>
      </c>
      <c r="L388" s="269">
        <f t="shared" si="190"/>
        <v>2.36999999999997</v>
      </c>
      <c r="M388" s="226">
        <f ca="1" t="shared" si="191"/>
        <v>63.36</v>
      </c>
      <c r="N388" s="280">
        <f ca="1" t="shared" si="196"/>
        <v>0.123683370260572</v>
      </c>
      <c r="O388" s="226">
        <f t="shared" si="161"/>
        <v>26.4</v>
      </c>
      <c r="P388" s="19">
        <f ca="1" t="shared" si="165"/>
        <v>15</v>
      </c>
      <c r="Q388" s="226">
        <f ca="1" t="shared" si="160"/>
        <v>2.4</v>
      </c>
      <c r="R388" s="269">
        <f ca="1" t="shared" si="172"/>
        <v>0.644977847313097</v>
      </c>
      <c r="S388" s="266">
        <f ca="1" t="shared" si="173"/>
        <v>60.5923695152835</v>
      </c>
      <c r="T388" s="226">
        <f ca="1">(1+OFFSET('玩法产出(新)'!$C$18,MATCH(X388,'玩法产出(新)'!$B$19:$B$25,0),1)*(1-V388)+OFFSET('玩法产出(新)'!$C$18,1+MATCH(X388,'玩法产出(新)'!$B$19:$B$25,0),1)*(V388))^AA388*(1+OFFSET('玩法产出(新)'!$C$18,MATCH(X388,'玩法产出(新)'!$B$19:$B$25,0),3)*(1-V388)+OFFSET('玩法产出(新)'!$C$18,1+MATCH(X388,'玩法产出(新)'!$B$19:$B$25,0),3)*(V388))^AB388*(1+OFFSET('玩法产出(新)'!$C$18,MATCH(X388,'玩法产出(新)'!$B$19:$B$25,0),4)*(1-V388)+OFFSET('玩法产出(新)'!$C$18,1+MATCH(X388,'玩法产出(新)'!$B$19:$B$25,0),4)*(V388))^AC388*(1+OFFSET('玩法产出(新)'!$C$18,MATCH(X388,'玩法产出(新)'!$B$19:$B$25,0),5)*(1+V388)+OFFSET('玩法产出(新)'!$C$18,1+MATCH(X388,'玩法产出(新)'!$B$19:$B$25,5),1)*(V388))^AD388*(1+OFFSET('玩法产出(新)'!$C$18,MATCH(X388,'玩法产出(新)'!$B$19:$B$25,0),6)*(1+V388)+OFFSET('玩法产出(新)'!$C$18,1+MATCH(X388,'玩法产出(新)'!$B$19:$B$25,0),6)*(V388))^AE388</f>
        <v>60.3160253765456</v>
      </c>
      <c r="U388" s="226">
        <f ca="1" t="shared" si="192"/>
        <v>0.118693688467675</v>
      </c>
      <c r="V388" s="226">
        <f ca="1">COUNTIF($X$124:$X388,X388)/(COUNTIF($X$124:$X$723,X388)+1)</f>
        <v>0.307216494845361</v>
      </c>
      <c r="W388" s="19">
        <v>30</v>
      </c>
      <c r="X388" s="19" t="s">
        <v>326</v>
      </c>
      <c r="Y388" s="19">
        <f t="shared" si="198"/>
        <v>27660</v>
      </c>
      <c r="Z388" s="19">
        <f ca="1" t="shared" si="174"/>
        <v>0.788535583762886</v>
      </c>
      <c r="AA388" s="282">
        <f ca="1" t="shared" si="175"/>
        <v>4.576828125</v>
      </c>
      <c r="AB388" s="282">
        <f ca="1" t="shared" si="176"/>
        <v>18</v>
      </c>
      <c r="AC388" s="282">
        <f ca="1" t="shared" si="177"/>
        <v>5.65575</v>
      </c>
      <c r="AD388" s="282">
        <f ca="1" t="shared" si="178"/>
        <v>1.4139375</v>
      </c>
      <c r="AE388" s="282">
        <f ca="1" t="shared" si="179"/>
        <v>0.353484375</v>
      </c>
      <c r="AF388" s="19" t="str">
        <f t="shared" si="180"/>
        <v>彩1</v>
      </c>
      <c r="AG388" s="19">
        <f>IFERROR(_xlfn.XLOOKUP(C388+1,[2]基因升级!$E$141:$E$500,[2]基因升级!$D$141:$D$500)-1,AG387)</f>
        <v>96</v>
      </c>
      <c r="AH388" s="19">
        <v>7</v>
      </c>
      <c r="AI388" s="19">
        <f t="shared" si="181"/>
        <v>9.2039189417803</v>
      </c>
      <c r="AJ388" s="19">
        <f t="shared" si="193"/>
        <v>0</v>
      </c>
      <c r="AK388" s="269">
        <v>1.864</v>
      </c>
      <c r="AL388" s="287">
        <f t="shared" si="162"/>
        <v>12.2399999999999</v>
      </c>
      <c r="AM388" s="287">
        <f t="shared" si="163"/>
        <v>8.63999999999999</v>
      </c>
      <c r="AN388" s="287">
        <f t="shared" si="164"/>
        <v>5.04</v>
      </c>
      <c r="AO388" s="293"/>
      <c r="AQ388" s="19">
        <f t="shared" si="182"/>
        <v>2.28906138344603</v>
      </c>
      <c r="AR388" s="19">
        <f t="shared" si="183"/>
        <v>1.79422060232608</v>
      </c>
      <c r="AS388" s="19">
        <f t="shared" si="184"/>
        <v>1.40635266187795</v>
      </c>
      <c r="AT388" s="19">
        <f t="shared" si="185"/>
        <v>1</v>
      </c>
      <c r="AU388" s="19">
        <f t="shared" si="186"/>
        <v>1</v>
      </c>
      <c r="AV388" s="232">
        <f t="shared" si="166"/>
        <v>0.0399999999999991</v>
      </c>
      <c r="AW388" s="232">
        <f t="shared" si="167"/>
        <v>0.0399999999999991</v>
      </c>
      <c r="AX388" s="232">
        <f t="shared" si="168"/>
        <v>0.04</v>
      </c>
      <c r="AY388" s="232">
        <f t="shared" si="169"/>
        <v>0</v>
      </c>
      <c r="AZ388" s="232">
        <f t="shared" si="170"/>
        <v>0</v>
      </c>
    </row>
    <row r="389" spans="1:52">
      <c r="A389" s="269"/>
      <c r="C389" s="19">
        <v>266</v>
      </c>
      <c r="D389" s="86">
        <f ca="1" t="shared" si="194"/>
        <v>199.17433497952</v>
      </c>
      <c r="E389" s="251">
        <f ca="1" t="shared" si="171"/>
        <v>0.326488532130412</v>
      </c>
      <c r="F389" s="269">
        <f ca="1" t="shared" si="187"/>
        <v>414.348011167101</v>
      </c>
      <c r="G389" s="283">
        <f ca="1" t="shared" si="188"/>
        <v>135.279873957102</v>
      </c>
      <c r="H389" s="279">
        <f ca="1" t="shared" si="189"/>
        <v>0.207649380377404</v>
      </c>
      <c r="I389" s="269">
        <f ca="1">SUM($J$125:J389)/SUM($H$125:H389)</f>
        <v>0.547554593023253</v>
      </c>
      <c r="J389" s="284">
        <f t="shared" si="195"/>
        <v>0.0849924399582278</v>
      </c>
      <c r="K389" s="19">
        <f t="shared" si="197"/>
        <v>27500</v>
      </c>
      <c r="L389" s="269">
        <f t="shared" si="190"/>
        <v>2.37499999999997</v>
      </c>
      <c r="M389" s="226">
        <f ca="1" t="shared" si="191"/>
        <v>63.8879999999999</v>
      </c>
      <c r="N389" s="280">
        <f ca="1" t="shared" si="196"/>
        <v>0.122656940419176</v>
      </c>
      <c r="O389" s="226">
        <f t="shared" si="161"/>
        <v>26.4</v>
      </c>
      <c r="P389" s="19">
        <f ca="1" t="shared" si="165"/>
        <v>15.2</v>
      </c>
      <c r="Q389" s="226">
        <f ca="1" t="shared" si="160"/>
        <v>2.42</v>
      </c>
      <c r="R389" s="269">
        <f ca="1" t="shared" si="172"/>
        <v>0.646242835312202</v>
      </c>
      <c r="S389" s="266">
        <f ca="1" t="shared" si="173"/>
        <v>60.7112086670365</v>
      </c>
      <c r="T389" s="226">
        <f ca="1">(1+OFFSET('玩法产出(新)'!$C$18,MATCH(X389,'玩法产出(新)'!$B$19:$B$25,0),1)*(1-V389)+OFFSET('玩法产出(新)'!$C$18,1+MATCH(X389,'玩法产出(新)'!$B$19:$B$25,0),1)*(V389))^AA389*(1+OFFSET('玩法产出(新)'!$C$18,MATCH(X389,'玩法产出(新)'!$B$19:$B$25,0),3)*(1-V389)+OFFSET('玩法产出(新)'!$C$18,1+MATCH(X389,'玩法产出(新)'!$B$19:$B$25,0),3)*(V389))^AB389*(1+OFFSET('玩法产出(新)'!$C$18,MATCH(X389,'玩法产出(新)'!$B$19:$B$25,0),4)*(1-V389)+OFFSET('玩法产出(新)'!$C$18,1+MATCH(X389,'玩法产出(新)'!$B$19:$B$25,0),4)*(V389))^AC389*(1+OFFSET('玩法产出(新)'!$C$18,MATCH(X389,'玩法产出(新)'!$B$19:$B$25,0),5)*(1+V389)+OFFSET('玩法产出(新)'!$C$18,1+MATCH(X389,'玩法产出(新)'!$B$19:$B$25,5),1)*(V389))^AD389*(1+OFFSET('玩法产出(新)'!$C$18,MATCH(X389,'玩法产出(新)'!$B$19:$B$25,0),6)*(1+V389)+OFFSET('玩法产出(新)'!$C$18,1+MATCH(X389,'玩法产出(新)'!$B$19:$B$25,0),6)*(V389))^AE389</f>
        <v>60.8029511000181</v>
      </c>
      <c r="U389" s="226">
        <f ca="1" t="shared" si="192"/>
        <v>0.118839151753008</v>
      </c>
      <c r="V389" s="226">
        <f ca="1">COUNTIF($X$124:$X389,X389)/(COUNTIF($X$124:$X$723,X389)+1)</f>
        <v>0.309278350515464</v>
      </c>
      <c r="W389" s="19">
        <v>30</v>
      </c>
      <c r="X389" s="19" t="s">
        <v>326</v>
      </c>
      <c r="Y389" s="19">
        <f t="shared" si="198"/>
        <v>27760</v>
      </c>
      <c r="Z389" s="19">
        <f ca="1" t="shared" si="174"/>
        <v>0.784196010309279</v>
      </c>
      <c r="AA389" s="282">
        <f ca="1" t="shared" si="175"/>
        <v>4.5494625</v>
      </c>
      <c r="AB389" s="282">
        <f ca="1" t="shared" si="176"/>
        <v>18</v>
      </c>
      <c r="AC389" s="282">
        <f ca="1" t="shared" si="177"/>
        <v>5.6766</v>
      </c>
      <c r="AD389" s="282">
        <f ca="1" t="shared" si="178"/>
        <v>1.41915</v>
      </c>
      <c r="AE389" s="282">
        <f ca="1" t="shared" si="179"/>
        <v>0.3547875</v>
      </c>
      <c r="AF389" s="19" t="str">
        <f t="shared" si="180"/>
        <v>彩1</v>
      </c>
      <c r="AG389" s="19">
        <f>IFERROR(_xlfn.XLOOKUP(C389+1,[2]基因升级!$E$141:$E$500,[2]基因升级!$D$141:$D$500)-1,AG388)</f>
        <v>96</v>
      </c>
      <c r="AH389" s="19">
        <v>7</v>
      </c>
      <c r="AI389" s="19">
        <f t="shared" si="181"/>
        <v>9.2039189417803</v>
      </c>
      <c r="AJ389" s="19">
        <f t="shared" si="193"/>
        <v>0</v>
      </c>
      <c r="AK389" s="269">
        <v>1.864</v>
      </c>
      <c r="AL389" s="287">
        <f t="shared" si="162"/>
        <v>12.2799999999999</v>
      </c>
      <c r="AM389" s="287">
        <f t="shared" si="163"/>
        <v>8.67999999999999</v>
      </c>
      <c r="AN389" s="287">
        <f t="shared" si="164"/>
        <v>5.08</v>
      </c>
      <c r="AO389" s="293"/>
      <c r="AQ389" s="19">
        <f t="shared" si="182"/>
        <v>2.29526476588828</v>
      </c>
      <c r="AR389" s="19">
        <f t="shared" si="183"/>
        <v>1.79908296061078</v>
      </c>
      <c r="AS389" s="19">
        <f t="shared" si="184"/>
        <v>1.41016389362271</v>
      </c>
      <c r="AT389" s="19">
        <f t="shared" si="185"/>
        <v>1</v>
      </c>
      <c r="AU389" s="19">
        <f t="shared" si="186"/>
        <v>1</v>
      </c>
      <c r="AV389" s="232">
        <f t="shared" si="166"/>
        <v>0.0399999999999991</v>
      </c>
      <c r="AW389" s="232">
        <f t="shared" si="167"/>
        <v>0.0399999999999991</v>
      </c>
      <c r="AX389" s="232">
        <f t="shared" si="168"/>
        <v>0.04</v>
      </c>
      <c r="AY389" s="232">
        <f t="shared" si="169"/>
        <v>0</v>
      </c>
      <c r="AZ389" s="232">
        <f t="shared" si="170"/>
        <v>0</v>
      </c>
    </row>
    <row r="390" spans="1:52">
      <c r="A390" s="269"/>
      <c r="C390" s="19">
        <v>267</v>
      </c>
      <c r="D390" s="86">
        <f ca="1" t="shared" si="194"/>
        <v>199.499698404816</v>
      </c>
      <c r="E390" s="251">
        <f ca="1" t="shared" si="171"/>
        <v>0.325363425296568</v>
      </c>
      <c r="F390" s="269">
        <f ca="1" t="shared" si="187"/>
        <v>416.415129428473</v>
      </c>
      <c r="G390" s="283">
        <f ca="1" t="shared" si="188"/>
        <v>135.486252856162</v>
      </c>
      <c r="H390" s="279">
        <f ca="1" t="shared" si="189"/>
        <v>0.206378899059416</v>
      </c>
      <c r="I390" s="269">
        <f ca="1">SUM($J$125:J390)/SUM($H$125:H390)</f>
        <v>0.547329291675807</v>
      </c>
      <c r="J390" s="284">
        <f t="shared" si="195"/>
        <v>0.0847314922286273</v>
      </c>
      <c r="K390" s="19">
        <f t="shared" si="197"/>
        <v>27600</v>
      </c>
      <c r="L390" s="269">
        <f t="shared" si="190"/>
        <v>2.37999999999997</v>
      </c>
      <c r="M390" s="226">
        <f ca="1" t="shared" si="191"/>
        <v>64.416</v>
      </c>
      <c r="N390" s="280">
        <f ca="1" t="shared" si="196"/>
        <v>0.121647406830789</v>
      </c>
      <c r="O390" s="226">
        <f t="shared" si="161"/>
        <v>26.4</v>
      </c>
      <c r="P390" s="19">
        <f ca="1" t="shared" si="165"/>
        <v>15.4</v>
      </c>
      <c r="Q390" s="226">
        <f ca="1" t="shared" si="160"/>
        <v>2.44</v>
      </c>
      <c r="R390" s="269">
        <f ca="1" t="shared" si="172"/>
        <v>0.64750937075569</v>
      </c>
      <c r="S390" s="266">
        <f ca="1" t="shared" si="173"/>
        <v>60.8301931932736</v>
      </c>
      <c r="T390" s="226">
        <f ca="1">(1+OFFSET('玩法产出(新)'!$C$18,MATCH(X390,'玩法产出(新)'!$B$19:$B$25,0),1)*(1-V390)+OFFSET('玩法产出(新)'!$C$18,1+MATCH(X390,'玩法产出(新)'!$B$19:$B$25,0),1)*(V390))^AA390*(1+OFFSET('玩法产出(新)'!$C$18,MATCH(X390,'玩法产出(新)'!$B$19:$B$25,0),3)*(1-V390)+OFFSET('玩法产出(新)'!$C$18,1+MATCH(X390,'玩法产出(新)'!$B$19:$B$25,0),3)*(V390))^AB390*(1+OFFSET('玩法产出(新)'!$C$18,MATCH(X390,'玩法产出(新)'!$B$19:$B$25,0),4)*(1-V390)+OFFSET('玩法产出(新)'!$C$18,1+MATCH(X390,'玩法产出(新)'!$B$19:$B$25,0),4)*(V390))^AC390*(1+OFFSET('玩法产出(新)'!$C$18,MATCH(X390,'玩法产出(新)'!$B$19:$B$25,0),5)*(1+V390)+OFFSET('玩法产出(新)'!$C$18,1+MATCH(X390,'玩法产出(新)'!$B$19:$B$25,5),1)*(V390))^AD390*(1+OFFSET('玩法产出(新)'!$C$18,MATCH(X390,'玩法产出(新)'!$B$19:$B$25,0),6)*(1+V390)+OFFSET('玩法产出(新)'!$C$18,1+MATCH(X390,'玩法产出(新)'!$B$19:$B$25,0),6)*(V390))^AE390</f>
        <v>61.2944106091758</v>
      </c>
      <c r="U390" s="226">
        <f ca="1" t="shared" si="192"/>
        <v>0.118984526237152</v>
      </c>
      <c r="V390" s="226">
        <f ca="1">COUNTIF($X$124:$X390,X390)/(COUNTIF($X$124:$X$723,X390)+1)</f>
        <v>0.311340206185567</v>
      </c>
      <c r="W390" s="19">
        <v>30</v>
      </c>
      <c r="X390" s="19" t="s">
        <v>326</v>
      </c>
      <c r="Y390" s="19">
        <f t="shared" si="198"/>
        <v>27860</v>
      </c>
      <c r="Z390" s="19">
        <f ca="1" t="shared" si="174"/>
        <v>0.779851922938144</v>
      </c>
      <c r="AA390" s="282">
        <f ca="1" t="shared" si="175"/>
        <v>4.522096875</v>
      </c>
      <c r="AB390" s="282">
        <f ca="1" t="shared" si="176"/>
        <v>18</v>
      </c>
      <c r="AC390" s="282">
        <f ca="1" t="shared" si="177"/>
        <v>5.69745</v>
      </c>
      <c r="AD390" s="282">
        <f ca="1" t="shared" si="178"/>
        <v>1.4243625</v>
      </c>
      <c r="AE390" s="282">
        <f ca="1" t="shared" si="179"/>
        <v>0.356090625</v>
      </c>
      <c r="AF390" s="19" t="str">
        <f t="shared" si="180"/>
        <v>彩1</v>
      </c>
      <c r="AG390" s="19">
        <f>IFERROR(_xlfn.XLOOKUP(C390+1,[2]基因升级!$E$141:$E$500,[2]基因升级!$D$141:$D$500)-1,AG389)</f>
        <v>96</v>
      </c>
      <c r="AH390" s="19">
        <v>7</v>
      </c>
      <c r="AI390" s="19">
        <f t="shared" si="181"/>
        <v>9.2039189417803</v>
      </c>
      <c r="AJ390" s="19">
        <f t="shared" si="193"/>
        <v>0</v>
      </c>
      <c r="AK390" s="269">
        <v>1.864</v>
      </c>
      <c r="AL390" s="287">
        <f t="shared" si="162"/>
        <v>12.3199999999999</v>
      </c>
      <c r="AM390" s="287">
        <f t="shared" si="163"/>
        <v>8.71999999999998</v>
      </c>
      <c r="AN390" s="287">
        <f t="shared" si="164"/>
        <v>5.12</v>
      </c>
      <c r="AO390" s="293"/>
      <c r="AQ390" s="19">
        <f t="shared" si="182"/>
        <v>2.30148495956767</v>
      </c>
      <c r="AR390" s="19">
        <f t="shared" si="183"/>
        <v>1.80395849594187</v>
      </c>
      <c r="AS390" s="19">
        <f t="shared" si="184"/>
        <v>1.41398545384895</v>
      </c>
      <c r="AT390" s="19">
        <f t="shared" si="185"/>
        <v>1</v>
      </c>
      <c r="AU390" s="19">
        <f t="shared" si="186"/>
        <v>1</v>
      </c>
      <c r="AV390" s="232">
        <f t="shared" si="166"/>
        <v>0.0399999999999991</v>
      </c>
      <c r="AW390" s="232">
        <f t="shared" si="167"/>
        <v>0.0399999999999991</v>
      </c>
      <c r="AX390" s="232">
        <f t="shared" si="168"/>
        <v>0.04</v>
      </c>
      <c r="AY390" s="232">
        <f t="shared" si="169"/>
        <v>0</v>
      </c>
      <c r="AZ390" s="232">
        <f t="shared" si="170"/>
        <v>0</v>
      </c>
    </row>
    <row r="391" spans="1:52">
      <c r="A391" s="269"/>
      <c r="C391" s="19">
        <v>268</v>
      </c>
      <c r="D391" s="86">
        <f ca="1" t="shared" si="194"/>
        <v>199.823954805685</v>
      </c>
      <c r="E391" s="251">
        <f ca="1" t="shared" si="171"/>
        <v>0.32425640086873</v>
      </c>
      <c r="F391" s="269">
        <f ca="1" t="shared" si="187"/>
        <v>418.46939360782</v>
      </c>
      <c r="G391" s="283">
        <f ca="1" t="shared" si="188"/>
        <v>135.691379444992</v>
      </c>
      <c r="H391" s="279">
        <f ca="1" t="shared" si="189"/>
        <v>0.205126588829842</v>
      </c>
      <c r="I391" s="269">
        <f ca="1">SUM($J$125:J391)/SUM($H$125:H391)</f>
        <v>0.547108118532817</v>
      </c>
      <c r="J391" s="284">
        <f t="shared" si="195"/>
        <v>0.0844722331295316</v>
      </c>
      <c r="K391" s="19">
        <f t="shared" si="197"/>
        <v>27700</v>
      </c>
      <c r="L391" s="269">
        <f t="shared" si="190"/>
        <v>2.38499999999997</v>
      </c>
      <c r="M391" s="226">
        <f ca="1" t="shared" si="191"/>
        <v>64.9439999999999</v>
      </c>
      <c r="N391" s="280">
        <f ca="1" t="shared" si="196"/>
        <v>0.120654355700296</v>
      </c>
      <c r="O391" s="226">
        <f t="shared" si="161"/>
        <v>26.4</v>
      </c>
      <c r="P391" s="19">
        <f ca="1" t="shared" si="165"/>
        <v>15.6</v>
      </c>
      <c r="Q391" s="226">
        <f ca="1" t="shared" si="160"/>
        <v>2.46</v>
      </c>
      <c r="R391" s="269">
        <f ca="1" t="shared" si="172"/>
        <v>0.648777452699577</v>
      </c>
      <c r="S391" s="266">
        <f ca="1" t="shared" si="173"/>
        <v>60.9493230053125</v>
      </c>
      <c r="T391" s="226">
        <f ca="1">(1+OFFSET('玩法产出(新)'!$C$18,MATCH(X391,'玩法产出(新)'!$B$19:$B$25,0),1)*(1-V391)+OFFSET('玩法产出(新)'!$C$18,1+MATCH(X391,'玩法产出(新)'!$B$19:$B$25,0),1)*(V391))^AA391*(1+OFFSET('玩法产出(新)'!$C$18,MATCH(X391,'玩法产出(新)'!$B$19:$B$25,0),3)*(1-V391)+OFFSET('玩法产出(新)'!$C$18,1+MATCH(X391,'玩法产出(新)'!$B$19:$B$25,0),3)*(V391))^AB391*(1+OFFSET('玩法产出(新)'!$C$18,MATCH(X391,'玩法产出(新)'!$B$19:$B$25,0),4)*(1-V391)+OFFSET('玩法产出(新)'!$C$18,1+MATCH(X391,'玩法产出(新)'!$B$19:$B$25,0),4)*(V391))^AC391*(1+OFFSET('玩法产出(新)'!$C$18,MATCH(X391,'玩法产出(新)'!$B$19:$B$25,0),5)*(1+V391)+OFFSET('玩法产出(新)'!$C$18,1+MATCH(X391,'玩法产出(新)'!$B$19:$B$25,5),1)*(V391))^AD391*(1+OFFSET('玩法产出(新)'!$C$18,MATCH(X391,'玩法产出(新)'!$B$19:$B$25,0),6)*(1+V391)+OFFSET('玩法产出(新)'!$C$18,1+MATCH(X391,'玩法产出(新)'!$B$19:$B$25,0),6)*(V391))^AE391</f>
        <v>61.7904498860111</v>
      </c>
      <c r="U391" s="226">
        <f ca="1" t="shared" si="192"/>
        <v>0.119129812038902</v>
      </c>
      <c r="V391" s="226">
        <f ca="1">COUNTIF($X$124:$X391,X391)/(COUNTIF($X$124:$X$723,X391)+1)</f>
        <v>0.31340206185567</v>
      </c>
      <c r="W391" s="19">
        <v>30</v>
      </c>
      <c r="X391" s="19" t="s">
        <v>326</v>
      </c>
      <c r="Y391" s="19">
        <f t="shared" si="198"/>
        <v>27960</v>
      </c>
      <c r="Z391" s="19">
        <f ca="1" t="shared" si="174"/>
        <v>0.775503321649485</v>
      </c>
      <c r="AA391" s="282">
        <f ca="1" t="shared" si="175"/>
        <v>4.49473125</v>
      </c>
      <c r="AB391" s="282">
        <f ca="1" t="shared" si="176"/>
        <v>18</v>
      </c>
      <c r="AC391" s="282">
        <f ca="1" t="shared" si="177"/>
        <v>5.7183</v>
      </c>
      <c r="AD391" s="282">
        <f ca="1" t="shared" si="178"/>
        <v>1.429575</v>
      </c>
      <c r="AE391" s="282">
        <f ca="1" t="shared" si="179"/>
        <v>0.35739375</v>
      </c>
      <c r="AF391" s="19" t="str">
        <f t="shared" si="180"/>
        <v>彩1</v>
      </c>
      <c r="AG391" s="19">
        <f>IFERROR(_xlfn.XLOOKUP(C391+1,[2]基因升级!$E$141:$E$500,[2]基因升级!$D$141:$D$500)-1,AG390)</f>
        <v>97</v>
      </c>
      <c r="AH391" s="19">
        <v>7</v>
      </c>
      <c r="AI391" s="19">
        <f t="shared" si="181"/>
        <v>9.2039189417803</v>
      </c>
      <c r="AJ391" s="19">
        <f t="shared" si="193"/>
        <v>0</v>
      </c>
      <c r="AK391" s="269">
        <v>1.864</v>
      </c>
      <c r="AL391" s="287">
        <f t="shared" si="162"/>
        <v>12.3599999999999</v>
      </c>
      <c r="AM391" s="287">
        <f t="shared" si="163"/>
        <v>8.75999999999998</v>
      </c>
      <c r="AN391" s="287">
        <f t="shared" si="164"/>
        <v>5.16</v>
      </c>
      <c r="AO391" s="293"/>
      <c r="AQ391" s="19">
        <f t="shared" si="182"/>
        <v>2.30772201004283</v>
      </c>
      <c r="AR391" s="19">
        <f t="shared" si="183"/>
        <v>1.80884724402927</v>
      </c>
      <c r="AS391" s="19">
        <f t="shared" si="184"/>
        <v>1.41781737054697</v>
      </c>
      <c r="AT391" s="19">
        <f t="shared" si="185"/>
        <v>1</v>
      </c>
      <c r="AU391" s="19">
        <f t="shared" si="186"/>
        <v>1</v>
      </c>
      <c r="AV391" s="232">
        <f t="shared" si="166"/>
        <v>0.0399999999999991</v>
      </c>
      <c r="AW391" s="232">
        <f t="shared" si="167"/>
        <v>0.0399999999999991</v>
      </c>
      <c r="AX391" s="232">
        <f t="shared" si="168"/>
        <v>0.04</v>
      </c>
      <c r="AY391" s="232">
        <f t="shared" si="169"/>
        <v>0</v>
      </c>
      <c r="AZ391" s="232">
        <f t="shared" si="170"/>
        <v>0</v>
      </c>
    </row>
    <row r="392" spans="1:52">
      <c r="A392" s="269"/>
      <c r="C392" s="19">
        <v>269</v>
      </c>
      <c r="D392" s="86">
        <f ca="1" t="shared" si="194"/>
        <v>200.147121847247</v>
      </c>
      <c r="E392" s="251">
        <f ca="1" t="shared" si="171"/>
        <v>0.323167041562312</v>
      </c>
      <c r="F392" s="269">
        <f ca="1" t="shared" si="187"/>
        <v>420.510924691789</v>
      </c>
      <c r="G392" s="283">
        <f ca="1" t="shared" si="188"/>
        <v>135.895271477277</v>
      </c>
      <c r="H392" s="279">
        <f ca="1" t="shared" si="189"/>
        <v>0.203892032285722</v>
      </c>
      <c r="I392" s="269">
        <f ca="1">SUM($J$125:J392)/SUM($H$125:H392)</f>
        <v>0.546890982970882</v>
      </c>
      <c r="J392" s="284">
        <f t="shared" si="195"/>
        <v>0.0842146456504906</v>
      </c>
      <c r="K392" s="19">
        <f t="shared" si="197"/>
        <v>27800</v>
      </c>
      <c r="L392" s="269">
        <f t="shared" si="190"/>
        <v>2.38999999999997</v>
      </c>
      <c r="M392" s="226">
        <f ca="1" t="shared" si="191"/>
        <v>65.4719999999999</v>
      </c>
      <c r="N392" s="280">
        <f ca="1" t="shared" si="196"/>
        <v>0.119677386635253</v>
      </c>
      <c r="O392" s="226">
        <f t="shared" si="161"/>
        <v>26.4</v>
      </c>
      <c r="P392" s="19">
        <f ca="1" t="shared" si="165"/>
        <v>15.8</v>
      </c>
      <c r="Q392" s="226">
        <f ca="1" t="shared" si="160"/>
        <v>2.48</v>
      </c>
      <c r="R392" s="269">
        <f ca="1" t="shared" si="172"/>
        <v>0.65004708020114</v>
      </c>
      <c r="S392" s="266">
        <f ca="1" t="shared" si="173"/>
        <v>61.0685980145891</v>
      </c>
      <c r="T392" s="226">
        <f ca="1">(1+OFFSET('玩法产出(新)'!$C$18,MATCH(X392,'玩法产出(新)'!$B$19:$B$25,0),1)*(1-V392)+OFFSET('玩法产出(新)'!$C$18,1+MATCH(X392,'玩法产出(新)'!$B$19:$B$25,0),1)*(V392))^AA392*(1+OFFSET('玩法产出(新)'!$C$18,MATCH(X392,'玩法产出(新)'!$B$19:$B$25,0),3)*(1-V392)+OFFSET('玩法产出(新)'!$C$18,1+MATCH(X392,'玩法产出(新)'!$B$19:$B$25,0),3)*(V392))^AB392*(1+OFFSET('玩法产出(新)'!$C$18,MATCH(X392,'玩法产出(新)'!$B$19:$B$25,0),4)*(1-V392)+OFFSET('玩法产出(新)'!$C$18,1+MATCH(X392,'玩法产出(新)'!$B$19:$B$25,0),4)*(V392))^AC392*(1+OFFSET('玩法产出(新)'!$C$18,MATCH(X392,'玩法产出(新)'!$B$19:$B$25,0),5)*(1+V392)+OFFSET('玩法产出(新)'!$C$18,1+MATCH(X392,'玩法产出(新)'!$B$19:$B$25,5),1)*(V392))^AD392*(1+OFFSET('玩法产出(新)'!$C$18,MATCH(X392,'玩法产出(新)'!$B$19:$B$25,0),6)*(1+V392)+OFFSET('玩法产出(新)'!$C$18,1+MATCH(X392,'玩法产出(新)'!$B$19:$B$25,0),6)*(V392))^AE392</f>
        <v>62.2911154115859</v>
      </c>
      <c r="U392" s="226">
        <f ca="1" t="shared" si="192"/>
        <v>0.119275009276568</v>
      </c>
      <c r="V392" s="226">
        <f ca="1">COUNTIF($X$124:$X392,X392)/(COUNTIF($X$124:$X$723,X392)+1)</f>
        <v>0.315463917525773</v>
      </c>
      <c r="W392" s="19">
        <v>30</v>
      </c>
      <c r="X392" s="19" t="s">
        <v>326</v>
      </c>
      <c r="Y392" s="19">
        <f t="shared" si="198"/>
        <v>28060</v>
      </c>
      <c r="Z392" s="19">
        <f ca="1" t="shared" si="174"/>
        <v>0.771150206443299</v>
      </c>
      <c r="AA392" s="282">
        <f ca="1" t="shared" si="175"/>
        <v>4.467365625</v>
      </c>
      <c r="AB392" s="282">
        <f ca="1" t="shared" si="176"/>
        <v>18</v>
      </c>
      <c r="AC392" s="282">
        <f ca="1" t="shared" si="177"/>
        <v>5.73915</v>
      </c>
      <c r="AD392" s="282">
        <f ca="1" t="shared" si="178"/>
        <v>1.4347875</v>
      </c>
      <c r="AE392" s="282">
        <f ca="1" t="shared" si="179"/>
        <v>0.358696875</v>
      </c>
      <c r="AF392" s="19" t="str">
        <f t="shared" si="180"/>
        <v>彩1</v>
      </c>
      <c r="AG392" s="19">
        <f>IFERROR(_xlfn.XLOOKUP(C392+1,[2]基因升级!$E$141:$E$500,[2]基因升级!$D$141:$D$500)-1,AG391)</f>
        <v>97</v>
      </c>
      <c r="AH392" s="19">
        <v>7</v>
      </c>
      <c r="AI392" s="19">
        <f t="shared" si="181"/>
        <v>9.2039189417803</v>
      </c>
      <c r="AJ392" s="19">
        <f t="shared" si="193"/>
        <v>0</v>
      </c>
      <c r="AK392" s="269">
        <v>1.864</v>
      </c>
      <c r="AL392" s="287">
        <f t="shared" si="162"/>
        <v>12.3999999999999</v>
      </c>
      <c r="AM392" s="287">
        <f t="shared" si="163"/>
        <v>8.79999999999998</v>
      </c>
      <c r="AN392" s="287">
        <f t="shared" si="164"/>
        <v>5.2</v>
      </c>
      <c r="AO392" s="293"/>
      <c r="AQ392" s="19">
        <f t="shared" si="182"/>
        <v>2.31397596299587</v>
      </c>
      <c r="AR392" s="19">
        <f t="shared" si="183"/>
        <v>1.81374924067972</v>
      </c>
      <c r="AS392" s="19">
        <f t="shared" si="184"/>
        <v>1.42165967178291</v>
      </c>
      <c r="AT392" s="19">
        <f t="shared" si="185"/>
        <v>1</v>
      </c>
      <c r="AU392" s="19">
        <f t="shared" si="186"/>
        <v>1</v>
      </c>
      <c r="AV392" s="232">
        <f t="shared" si="166"/>
        <v>0.0399999999999991</v>
      </c>
      <c r="AW392" s="232">
        <f t="shared" si="167"/>
        <v>0.0399999999999991</v>
      </c>
      <c r="AX392" s="232">
        <f t="shared" si="168"/>
        <v>0.04</v>
      </c>
      <c r="AY392" s="232">
        <f t="shared" si="169"/>
        <v>0</v>
      </c>
      <c r="AZ392" s="232">
        <f t="shared" si="170"/>
        <v>0</v>
      </c>
    </row>
    <row r="393" spans="1:52">
      <c r="A393" s="269"/>
      <c r="C393" s="19">
        <v>270</v>
      </c>
      <c r="D393" s="86">
        <f ca="1" t="shared" si="194"/>
        <v>200.469216790438</v>
      </c>
      <c r="E393" s="251">
        <f ca="1" t="shared" si="171"/>
        <v>0.322094943191113</v>
      </c>
      <c r="F393" s="269">
        <f ca="1" t="shared" si="187"/>
        <v>422.539841681548</v>
      </c>
      <c r="G393" s="283">
        <f ca="1" t="shared" si="188"/>
        <v>136.0979463024</v>
      </c>
      <c r="H393" s="279">
        <f ca="1" t="shared" si="189"/>
        <v>0.202674825122443</v>
      </c>
      <c r="I393" s="269">
        <f ca="1">SUM($J$125:J393)/SUM($H$125:H393)</f>
        <v>0.546677796934883</v>
      </c>
      <c r="J393" s="284">
        <f t="shared" si="195"/>
        <v>0.08395871301488</v>
      </c>
      <c r="K393" s="19">
        <f t="shared" si="197"/>
        <v>27900</v>
      </c>
      <c r="L393" s="269">
        <f t="shared" si="190"/>
        <v>2.39499999999997</v>
      </c>
      <c r="M393" s="226">
        <f ca="1" t="shared" si="191"/>
        <v>65.9999999999999</v>
      </c>
      <c r="N393" s="280">
        <f ca="1" t="shared" si="196"/>
        <v>0.118716112107577</v>
      </c>
      <c r="O393" s="226">
        <f t="shared" si="161"/>
        <v>26.4</v>
      </c>
      <c r="P393" s="19">
        <f ca="1" t="shared" si="165"/>
        <v>16</v>
      </c>
      <c r="Q393" s="226">
        <f ca="1" t="shared" ref="Q393:Q456" si="199">_xlfn.XLOOKUP(O393,$D$76:$D$95,$E$76:$E$95)*(P393-1)+1</f>
        <v>2.5</v>
      </c>
      <c r="R393" s="269">
        <f ca="1" t="shared" si="172"/>
        <v>0.651318252318916</v>
      </c>
      <c r="S393" s="266">
        <f ca="1" t="shared" si="173"/>
        <v>61.1880181326578</v>
      </c>
      <c r="T393" s="226">
        <f ca="1">(1+OFFSET('玩法产出(新)'!$C$18,MATCH(X393,'玩法产出(新)'!$B$19:$B$25,0),1)*(1-V393)+OFFSET('玩法产出(新)'!$C$18,1+MATCH(X393,'玩法产出(新)'!$B$19:$B$25,0),1)*(V393))^AA393*(1+OFFSET('玩法产出(新)'!$C$18,MATCH(X393,'玩法产出(新)'!$B$19:$B$25,0),3)*(1-V393)+OFFSET('玩法产出(新)'!$C$18,1+MATCH(X393,'玩法产出(新)'!$B$19:$B$25,0),3)*(V393))^AB393*(1+OFFSET('玩法产出(新)'!$C$18,MATCH(X393,'玩法产出(新)'!$B$19:$B$25,0),4)*(1-V393)+OFFSET('玩法产出(新)'!$C$18,1+MATCH(X393,'玩法产出(新)'!$B$19:$B$25,0),4)*(V393))^AC393*(1+OFFSET('玩法产出(新)'!$C$18,MATCH(X393,'玩法产出(新)'!$B$19:$B$25,0),5)*(1+V393)+OFFSET('玩法产出(新)'!$C$18,1+MATCH(X393,'玩法产出(新)'!$B$19:$B$25,5),1)*(V393))^AD393*(1+OFFSET('玩法产出(新)'!$C$18,MATCH(X393,'玩法产出(新)'!$B$19:$B$25,0),6)*(1+V393)+OFFSET('玩法产出(新)'!$C$18,1+MATCH(X393,'玩法产出(新)'!$B$19:$B$25,0),6)*(V393))^AE393</f>
        <v>62.796454171755</v>
      </c>
      <c r="U393" s="226">
        <f ca="1" t="shared" si="192"/>
        <v>0.119420118068655</v>
      </c>
      <c r="V393" s="226">
        <f ca="1">COUNTIF($X$124:$X393,X393)/(COUNTIF($X$124:$X$723,X393)+1)</f>
        <v>0.317525773195876</v>
      </c>
      <c r="W393" s="19">
        <v>30</v>
      </c>
      <c r="X393" s="19" t="s">
        <v>326</v>
      </c>
      <c r="Y393" s="19">
        <f t="shared" si="198"/>
        <v>28160</v>
      </c>
      <c r="Z393" s="19">
        <f ca="1" t="shared" si="174"/>
        <v>0.766792577319588</v>
      </c>
      <c r="AA393" s="282">
        <f ca="1" t="shared" si="175"/>
        <v>4.44</v>
      </c>
      <c r="AB393" s="282">
        <f ca="1" t="shared" si="176"/>
        <v>18</v>
      </c>
      <c r="AC393" s="282">
        <f ca="1" t="shared" si="177"/>
        <v>5.76</v>
      </c>
      <c r="AD393" s="282">
        <f ca="1" t="shared" si="178"/>
        <v>1.44</v>
      </c>
      <c r="AE393" s="282">
        <f ca="1" t="shared" si="179"/>
        <v>0.36</v>
      </c>
      <c r="AF393" s="19" t="str">
        <f t="shared" si="180"/>
        <v>彩1</v>
      </c>
      <c r="AG393" s="19">
        <f>IFERROR(_xlfn.XLOOKUP(C393+1,[2]基因升级!$E$141:$E$500,[2]基因升级!$D$141:$D$500)-1,AG392)</f>
        <v>97</v>
      </c>
      <c r="AH393" s="19">
        <v>7</v>
      </c>
      <c r="AI393" s="19">
        <f t="shared" si="181"/>
        <v>9.2039189417803</v>
      </c>
      <c r="AJ393" s="19">
        <f t="shared" si="193"/>
        <v>0</v>
      </c>
      <c r="AK393" s="269">
        <v>1.864</v>
      </c>
      <c r="AL393" s="287">
        <f t="shared" si="162"/>
        <v>12.4399999999999</v>
      </c>
      <c r="AM393" s="287">
        <f t="shared" si="163"/>
        <v>8.83999999999998</v>
      </c>
      <c r="AN393" s="287">
        <f t="shared" si="164"/>
        <v>5.24</v>
      </c>
      <c r="AO393" s="293"/>
      <c r="AQ393" s="19">
        <f t="shared" si="182"/>
        <v>2.3202468642327</v>
      </c>
      <c r="AR393" s="19">
        <f t="shared" si="183"/>
        <v>1.81866452179697</v>
      </c>
      <c r="AS393" s="19">
        <f t="shared" si="184"/>
        <v>1.42551238569901</v>
      </c>
      <c r="AT393" s="19">
        <f t="shared" si="185"/>
        <v>1</v>
      </c>
      <c r="AU393" s="19">
        <f t="shared" si="186"/>
        <v>1</v>
      </c>
      <c r="AV393" s="232">
        <f t="shared" si="166"/>
        <v>0.0399999999999991</v>
      </c>
      <c r="AW393" s="232">
        <f t="shared" si="167"/>
        <v>0.0399999999999991</v>
      </c>
      <c r="AX393" s="232">
        <f t="shared" si="168"/>
        <v>0.04</v>
      </c>
      <c r="AY393" s="232">
        <f t="shared" si="169"/>
        <v>0</v>
      </c>
      <c r="AZ393" s="232">
        <f t="shared" si="170"/>
        <v>0</v>
      </c>
    </row>
    <row r="394" spans="1:52">
      <c r="A394" s="269"/>
      <c r="C394" s="19">
        <v>271</v>
      </c>
      <c r="D394" s="86">
        <f ca="1" t="shared" si="194"/>
        <v>200.790256504588</v>
      </c>
      <c r="E394" s="251">
        <f ca="1" t="shared" si="171"/>
        <v>0.321039714150051</v>
      </c>
      <c r="F394" s="269">
        <f ca="1" t="shared" si="187"/>
        <v>424.556261641548</v>
      </c>
      <c r="G394" s="283">
        <f ca="1" t="shared" si="188"/>
        <v>136.299420878017</v>
      </c>
      <c r="H394" s="279">
        <f ca="1" t="shared" si="189"/>
        <v>0.201474575617027</v>
      </c>
      <c r="I394" s="269">
        <f ca="1">SUM($J$125:J394)/SUM($H$125:H394)</f>
        <v>0.546468474847126</v>
      </c>
      <c r="J394" s="284">
        <f t="shared" si="195"/>
        <v>0.083704418676021</v>
      </c>
      <c r="K394" s="19">
        <f t="shared" si="197"/>
        <v>28000</v>
      </c>
      <c r="L394" s="269">
        <f t="shared" si="190"/>
        <v>2.39999999999997</v>
      </c>
      <c r="M394" s="226">
        <f ca="1" t="shared" si="191"/>
        <v>66.5279999999999</v>
      </c>
      <c r="N394" s="280">
        <f ca="1" t="shared" si="196"/>
        <v>0.117770156940992</v>
      </c>
      <c r="O394" s="226">
        <f t="shared" ref="O394:O457" si="200">IF(MOD(C394,60)=0,_xlfn.XLOOKUP(_xlfn.XLOOKUP(O393,$D$76:$D$95,$C$76:$C$95)+1,$C$76:$C$95,$D$76:$D$95),O393)</f>
        <v>26.4</v>
      </c>
      <c r="P394" s="19">
        <f ca="1" t="shared" si="165"/>
        <v>16.2</v>
      </c>
      <c r="Q394" s="226">
        <f ca="1" t="shared" si="199"/>
        <v>2.52</v>
      </c>
      <c r="R394" s="269">
        <f ca="1" t="shared" si="172"/>
        <v>0.652590968112697</v>
      </c>
      <c r="S394" s="266">
        <f ca="1" t="shared" si="173"/>
        <v>61.3075832711908</v>
      </c>
      <c r="T394" s="226">
        <f ca="1">(1+OFFSET('玩法产出(新)'!$C$18,MATCH(X394,'玩法产出(新)'!$B$19:$B$25,0),1)*(1-V394)+OFFSET('玩法产出(新)'!$C$18,1+MATCH(X394,'玩法产出(新)'!$B$19:$B$25,0),1)*(V394))^AA394*(1+OFFSET('玩法产出(新)'!$C$18,MATCH(X394,'玩法产出(新)'!$B$19:$B$25,0),3)*(1-V394)+OFFSET('玩法产出(新)'!$C$18,1+MATCH(X394,'玩法产出(新)'!$B$19:$B$25,0),3)*(V394))^AB394*(1+OFFSET('玩法产出(新)'!$C$18,MATCH(X394,'玩法产出(新)'!$B$19:$B$25,0),4)*(1-V394)+OFFSET('玩法产出(新)'!$C$18,1+MATCH(X394,'玩法产出(新)'!$B$19:$B$25,0),4)*(V394))^AC394*(1+OFFSET('玩法产出(新)'!$C$18,MATCH(X394,'玩法产出(新)'!$B$19:$B$25,0),5)*(1+V394)+OFFSET('玩法产出(新)'!$C$18,1+MATCH(X394,'玩法产出(新)'!$B$19:$B$25,5),1)*(V394))^AD394*(1+OFFSET('玩法产出(新)'!$C$18,MATCH(X394,'玩法产出(新)'!$B$19:$B$25,0),6)*(1+V394)+OFFSET('玩法产出(新)'!$C$18,1+MATCH(X394,'玩法产出(新)'!$B$19:$B$25,0),6)*(V394))^AE394</f>
        <v>63.3065136629556</v>
      </c>
      <c r="U394" s="226">
        <f ca="1" t="shared" si="192"/>
        <v>0.119565138533038</v>
      </c>
      <c r="V394" s="226">
        <f ca="1">COUNTIF($X$124:$X394,X394)/(COUNTIF($X$124:$X$723,X394)+1)</f>
        <v>0.319587628865979</v>
      </c>
      <c r="W394" s="19">
        <v>30</v>
      </c>
      <c r="X394" s="19" t="s">
        <v>326</v>
      </c>
      <c r="Y394" s="19">
        <f t="shared" si="198"/>
        <v>28260</v>
      </c>
      <c r="Z394" s="19">
        <f ca="1" t="shared" si="174"/>
        <v>0.76243043427835</v>
      </c>
      <c r="AA394" s="282">
        <f ca="1" t="shared" si="175"/>
        <v>4.412634375</v>
      </c>
      <c r="AB394" s="282">
        <f ca="1" t="shared" si="176"/>
        <v>18</v>
      </c>
      <c r="AC394" s="282">
        <f ca="1" t="shared" si="177"/>
        <v>5.78085</v>
      </c>
      <c r="AD394" s="282">
        <f ca="1" t="shared" si="178"/>
        <v>1.4452125</v>
      </c>
      <c r="AE394" s="282">
        <f ca="1" t="shared" si="179"/>
        <v>0.361303125</v>
      </c>
      <c r="AF394" s="19" t="str">
        <f t="shared" si="180"/>
        <v>彩1</v>
      </c>
      <c r="AG394" s="19">
        <f>IFERROR(_xlfn.XLOOKUP(C394+1,[2]基因升级!$E$141:$E$500,[2]基因升级!$D$141:$D$500)-1,AG393)</f>
        <v>97</v>
      </c>
      <c r="AH394" s="19">
        <v>7</v>
      </c>
      <c r="AI394" s="19">
        <f t="shared" si="181"/>
        <v>9.2039189417803</v>
      </c>
      <c r="AJ394" s="19">
        <f t="shared" si="193"/>
        <v>0</v>
      </c>
      <c r="AK394" s="269">
        <v>1.864</v>
      </c>
      <c r="AL394" s="287">
        <f t="shared" si="162"/>
        <v>12.4799999999999</v>
      </c>
      <c r="AM394" s="287">
        <f t="shared" si="163"/>
        <v>8.87999999999998</v>
      </c>
      <c r="AN394" s="287">
        <f t="shared" si="164"/>
        <v>5.28</v>
      </c>
      <c r="AO394" s="293"/>
      <c r="AQ394" s="19">
        <f t="shared" si="182"/>
        <v>2.32653475968337</v>
      </c>
      <c r="AR394" s="19">
        <f t="shared" si="183"/>
        <v>1.82359312338208</v>
      </c>
      <c r="AS394" s="19">
        <f t="shared" si="184"/>
        <v>1.42937554051373</v>
      </c>
      <c r="AT394" s="19">
        <f t="shared" si="185"/>
        <v>1</v>
      </c>
      <c r="AU394" s="19">
        <f t="shared" si="186"/>
        <v>1</v>
      </c>
      <c r="AV394" s="232">
        <f t="shared" si="166"/>
        <v>0.0399999999999991</v>
      </c>
      <c r="AW394" s="232">
        <f t="shared" si="167"/>
        <v>0.0399999999999991</v>
      </c>
      <c r="AX394" s="232">
        <f t="shared" si="168"/>
        <v>0.04</v>
      </c>
      <c r="AY394" s="232">
        <f t="shared" si="169"/>
        <v>0</v>
      </c>
      <c r="AZ394" s="232">
        <f t="shared" si="170"/>
        <v>0</v>
      </c>
    </row>
    <row r="395" spans="1:52">
      <c r="A395" s="269"/>
      <c r="C395" s="19">
        <v>272</v>
      </c>
      <c r="D395" s="86">
        <f ca="1" t="shared" si="194"/>
        <v>201.110257479512</v>
      </c>
      <c r="E395" s="251">
        <f ca="1" t="shared" si="171"/>
        <v>0.320000974923518</v>
      </c>
      <c r="F395" s="269">
        <f ca="1" t="shared" si="187"/>
        <v>426.560299745265</v>
      </c>
      <c r="G395" s="283">
        <f ca="1" t="shared" si="188"/>
        <v>136.499711782153</v>
      </c>
      <c r="H395" s="279">
        <f ca="1" t="shared" si="189"/>
        <v>0.200290904135898</v>
      </c>
      <c r="I395" s="269">
        <f ca="1">SUM($J$125:J395)/SUM($H$125:H395)</f>
        <v>0.546262933520355</v>
      </c>
      <c r="J395" s="284">
        <f t="shared" si="195"/>
        <v>0.0834517463130453</v>
      </c>
      <c r="K395" s="19">
        <f t="shared" si="197"/>
        <v>28100</v>
      </c>
      <c r="L395" s="269">
        <f t="shared" si="190"/>
        <v>2.40499999999997</v>
      </c>
      <c r="M395" s="226">
        <f ca="1" t="shared" si="191"/>
        <v>67.0559999999999</v>
      </c>
      <c r="N395" s="280">
        <f ca="1" t="shared" si="196"/>
        <v>0.116839157822859</v>
      </c>
      <c r="O395" s="226">
        <f t="shared" si="200"/>
        <v>26.4</v>
      </c>
      <c r="P395" s="19">
        <f ca="1" t="shared" si="165"/>
        <v>16.4</v>
      </c>
      <c r="Q395" s="226">
        <f ca="1" t="shared" si="199"/>
        <v>2.54</v>
      </c>
      <c r="R395" s="269">
        <f ca="1" t="shared" si="172"/>
        <v>0.653865226643531</v>
      </c>
      <c r="S395" s="266">
        <f ca="1" t="shared" si="173"/>
        <v>61.4272933419784</v>
      </c>
      <c r="T395" s="226">
        <f ca="1">(1+OFFSET('玩法产出(新)'!$C$18,MATCH(X395,'玩法产出(新)'!$B$19:$B$25,0),1)*(1-V395)+OFFSET('玩法产出(新)'!$C$18,1+MATCH(X395,'玩法产出(新)'!$B$19:$B$25,0),1)*(V395))^AA395*(1+OFFSET('玩法产出(新)'!$C$18,MATCH(X395,'玩法产出(新)'!$B$19:$B$25,0),3)*(1-V395)+OFFSET('玩法产出(新)'!$C$18,1+MATCH(X395,'玩法产出(新)'!$B$19:$B$25,0),3)*(V395))^AB395*(1+OFFSET('玩法产出(新)'!$C$18,MATCH(X395,'玩法产出(新)'!$B$19:$B$25,0),4)*(1-V395)+OFFSET('玩法产出(新)'!$C$18,1+MATCH(X395,'玩法产出(新)'!$B$19:$B$25,0),4)*(V395))^AC395*(1+OFFSET('玩法产出(新)'!$C$18,MATCH(X395,'玩法产出(新)'!$B$19:$B$25,0),5)*(1+V395)+OFFSET('玩法产出(新)'!$C$18,1+MATCH(X395,'玩法产出(新)'!$B$19:$B$25,5),1)*(V395))^AD395*(1+OFFSET('玩法产出(新)'!$C$18,MATCH(X395,'玩法产出(新)'!$B$19:$B$25,0),6)*(1+V395)+OFFSET('玩法产出(新)'!$C$18,1+MATCH(X395,'玩法产出(新)'!$B$19:$B$25,0),6)*(V395))^AE395</f>
        <v>63.8213418980689</v>
      </c>
      <c r="U395" s="226">
        <f ca="1" t="shared" si="192"/>
        <v>0.119710070787614</v>
      </c>
      <c r="V395" s="226">
        <f ca="1">COUNTIF($X$124:$X395,X395)/(COUNTIF($X$124:$X$723,X395)+1)</f>
        <v>0.321649484536082</v>
      </c>
      <c r="W395" s="19">
        <v>30</v>
      </c>
      <c r="X395" s="19" t="s">
        <v>326</v>
      </c>
      <c r="Y395" s="19">
        <f t="shared" si="198"/>
        <v>28360</v>
      </c>
      <c r="Z395" s="19">
        <f ca="1" t="shared" si="174"/>
        <v>0.758063777319588</v>
      </c>
      <c r="AA395" s="282">
        <f ca="1" t="shared" si="175"/>
        <v>4.38526875</v>
      </c>
      <c r="AB395" s="282">
        <f ca="1" t="shared" si="176"/>
        <v>18</v>
      </c>
      <c r="AC395" s="282">
        <f ca="1" t="shared" si="177"/>
        <v>5.8017</v>
      </c>
      <c r="AD395" s="282">
        <f ca="1" t="shared" si="178"/>
        <v>1.450425</v>
      </c>
      <c r="AE395" s="282">
        <f ca="1" t="shared" si="179"/>
        <v>0.36260625</v>
      </c>
      <c r="AF395" s="19" t="str">
        <f t="shared" si="180"/>
        <v>彩1</v>
      </c>
      <c r="AG395" s="19">
        <f>IFERROR(_xlfn.XLOOKUP(C395+1,[2]基因升级!$E$141:$E$500,[2]基因升级!$D$141:$D$500)-1,AG394)</f>
        <v>97</v>
      </c>
      <c r="AH395" s="19">
        <v>7</v>
      </c>
      <c r="AI395" s="19">
        <f t="shared" si="181"/>
        <v>9.2039189417803</v>
      </c>
      <c r="AJ395" s="19">
        <f t="shared" si="193"/>
        <v>0</v>
      </c>
      <c r="AK395" s="269">
        <v>1.864</v>
      </c>
      <c r="AL395" s="287">
        <f t="shared" si="162"/>
        <v>12.5199999999999</v>
      </c>
      <c r="AM395" s="287">
        <f t="shared" si="163"/>
        <v>8.91999999999998</v>
      </c>
      <c r="AN395" s="287">
        <f t="shared" si="164"/>
        <v>5.32</v>
      </c>
      <c r="AO395" s="293"/>
      <c r="AQ395" s="19">
        <f t="shared" si="182"/>
        <v>2.33283969540239</v>
      </c>
      <c r="AR395" s="19">
        <f t="shared" si="183"/>
        <v>1.82853508153367</v>
      </c>
      <c r="AS395" s="19">
        <f t="shared" si="184"/>
        <v>1.43324916452204</v>
      </c>
      <c r="AT395" s="19">
        <f t="shared" si="185"/>
        <v>1</v>
      </c>
      <c r="AU395" s="19">
        <f t="shared" si="186"/>
        <v>1</v>
      </c>
      <c r="AV395" s="232">
        <f t="shared" si="166"/>
        <v>0.0399999999999991</v>
      </c>
      <c r="AW395" s="232">
        <f t="shared" si="167"/>
        <v>0.0399999999999991</v>
      </c>
      <c r="AX395" s="232">
        <f t="shared" si="168"/>
        <v>0.04</v>
      </c>
      <c r="AY395" s="232">
        <f t="shared" si="169"/>
        <v>0</v>
      </c>
      <c r="AZ395" s="232">
        <f t="shared" si="170"/>
        <v>0</v>
      </c>
    </row>
    <row r="396" spans="1:52">
      <c r="A396" s="269"/>
      <c r="C396" s="19">
        <v>273</v>
      </c>
      <c r="D396" s="86">
        <f ca="1" t="shared" si="194"/>
        <v>201.429235837128</v>
      </c>
      <c r="E396" s="251">
        <f ca="1" t="shared" si="171"/>
        <v>0.318978357615815</v>
      </c>
      <c r="F396" s="269">
        <f ca="1" t="shared" si="187"/>
        <v>428.552069320834</v>
      </c>
      <c r="G396" s="283">
        <f ca="1" t="shared" si="188"/>
        <v>136.698835224819</v>
      </c>
      <c r="H396" s="279">
        <f ca="1" t="shared" si="189"/>
        <v>0.199123442665979</v>
      </c>
      <c r="I396" s="269">
        <f ca="1">SUM($J$125:J396)/SUM($H$125:H396)</f>
        <v>0.546061092074451</v>
      </c>
      <c r="J396" s="284">
        <f t="shared" si="195"/>
        <v>0.0832006798271436</v>
      </c>
      <c r="K396" s="19">
        <f t="shared" si="197"/>
        <v>28200</v>
      </c>
      <c r="L396" s="269">
        <f t="shared" si="190"/>
        <v>2.40999999999997</v>
      </c>
      <c r="M396" s="226">
        <f ca="1" t="shared" si="191"/>
        <v>67.5839999999999</v>
      </c>
      <c r="N396" s="280">
        <f ca="1" t="shared" si="196"/>
        <v>0.115922762838828</v>
      </c>
      <c r="O396" s="226">
        <f t="shared" si="200"/>
        <v>26.4</v>
      </c>
      <c r="P396" s="19">
        <f ca="1" t="shared" si="165"/>
        <v>16.6</v>
      </c>
      <c r="Q396" s="226">
        <f ca="1" t="shared" si="199"/>
        <v>2.56</v>
      </c>
      <c r="R396" s="269">
        <f ca="1" t="shared" si="172"/>
        <v>0.655141026973715</v>
      </c>
      <c r="S396" s="266">
        <f ca="1" t="shared" si="173"/>
        <v>61.5471482569282</v>
      </c>
      <c r="T396" s="226">
        <f ca="1">(1+OFFSET('玩法产出(新)'!$C$18,MATCH(X396,'玩法产出(新)'!$B$19:$B$25,0),1)*(1-V396)+OFFSET('玩法产出(新)'!$C$18,1+MATCH(X396,'玩法产出(新)'!$B$19:$B$25,0),1)*(V396))^AA396*(1+OFFSET('玩法产出(新)'!$C$18,MATCH(X396,'玩法产出(新)'!$B$19:$B$25,0),3)*(1-V396)+OFFSET('玩法产出(新)'!$C$18,1+MATCH(X396,'玩法产出(新)'!$B$19:$B$25,0),3)*(V396))^AB396*(1+OFFSET('玩法产出(新)'!$C$18,MATCH(X396,'玩法产出(新)'!$B$19:$B$25,0),4)*(1-V396)+OFFSET('玩法产出(新)'!$C$18,1+MATCH(X396,'玩法产出(新)'!$B$19:$B$25,0),4)*(V396))^AC396*(1+OFFSET('玩法产出(新)'!$C$18,MATCH(X396,'玩法产出(新)'!$B$19:$B$25,0),5)*(1+V396)+OFFSET('玩法产出(新)'!$C$18,1+MATCH(X396,'玩法产出(新)'!$B$19:$B$25,5),1)*(V396))^AD396*(1+OFFSET('玩法产出(新)'!$C$18,MATCH(X396,'玩法产出(新)'!$B$19:$B$25,0),6)*(1+V396)+OFFSET('玩法产出(新)'!$C$18,1+MATCH(X396,'玩法产出(新)'!$B$19:$B$25,0),6)*(V396))^AE396</f>
        <v>64.34098741235</v>
      </c>
      <c r="U396" s="226">
        <f ca="1" t="shared" si="192"/>
        <v>0.119854914949844</v>
      </c>
      <c r="V396" s="226">
        <f ca="1">COUNTIF($X$124:$X396,X396)/(COUNTIF($X$124:$X$723,X396)+1)</f>
        <v>0.323711340206186</v>
      </c>
      <c r="W396" s="19">
        <v>30</v>
      </c>
      <c r="X396" s="19" t="s">
        <v>326</v>
      </c>
      <c r="Y396" s="19">
        <f t="shared" si="198"/>
        <v>28460</v>
      </c>
      <c r="Z396" s="19">
        <f ca="1" t="shared" si="174"/>
        <v>0.753692606443299</v>
      </c>
      <c r="AA396" s="282">
        <f ca="1" t="shared" si="175"/>
        <v>4.357903125</v>
      </c>
      <c r="AB396" s="282">
        <f ca="1" t="shared" si="176"/>
        <v>18</v>
      </c>
      <c r="AC396" s="282">
        <f ca="1" t="shared" si="177"/>
        <v>5.82255</v>
      </c>
      <c r="AD396" s="282">
        <f ca="1" t="shared" si="178"/>
        <v>1.4556375</v>
      </c>
      <c r="AE396" s="282">
        <f ca="1" t="shared" si="179"/>
        <v>0.363909375</v>
      </c>
      <c r="AF396" s="19" t="str">
        <f t="shared" si="180"/>
        <v>彩1</v>
      </c>
      <c r="AG396" s="19">
        <f>IFERROR(_xlfn.XLOOKUP(C396+1,[2]基因升级!$E$141:$E$500,[2]基因升级!$D$141:$D$500)-1,AG395)</f>
        <v>97</v>
      </c>
      <c r="AH396" s="19">
        <v>7</v>
      </c>
      <c r="AI396" s="19">
        <f t="shared" si="181"/>
        <v>9.2039189417803</v>
      </c>
      <c r="AJ396" s="19">
        <f t="shared" si="193"/>
        <v>0</v>
      </c>
      <c r="AK396" s="269">
        <v>1.864</v>
      </c>
      <c r="AL396" s="287">
        <f t="shared" si="162"/>
        <v>12.5599999999999</v>
      </c>
      <c r="AM396" s="287">
        <f t="shared" si="163"/>
        <v>8.95999999999998</v>
      </c>
      <c r="AN396" s="287">
        <f t="shared" si="164"/>
        <v>5.36</v>
      </c>
      <c r="AO396" s="293"/>
      <c r="AQ396" s="19">
        <f t="shared" si="182"/>
        <v>2.33916171756907</v>
      </c>
      <c r="AR396" s="19">
        <f t="shared" si="183"/>
        <v>1.83349043244818</v>
      </c>
      <c r="AS396" s="19">
        <f t="shared" si="184"/>
        <v>1.43713328609557</v>
      </c>
      <c r="AT396" s="19">
        <f t="shared" si="185"/>
        <v>1</v>
      </c>
      <c r="AU396" s="19">
        <f t="shared" si="186"/>
        <v>1</v>
      </c>
      <c r="AV396" s="232">
        <f t="shared" si="166"/>
        <v>0.0399999999999991</v>
      </c>
      <c r="AW396" s="232">
        <f t="shared" si="167"/>
        <v>0.0399999999999991</v>
      </c>
      <c r="AX396" s="232">
        <f t="shared" si="168"/>
        <v>0.04</v>
      </c>
      <c r="AY396" s="232">
        <f t="shared" si="169"/>
        <v>0</v>
      </c>
      <c r="AZ396" s="232">
        <f t="shared" si="170"/>
        <v>0</v>
      </c>
    </row>
    <row r="397" spans="1:52">
      <c r="A397" s="269"/>
      <c r="C397" s="19">
        <v>274</v>
      </c>
      <c r="D397" s="86">
        <f ca="1" t="shared" si="194"/>
        <v>201.747207342631</v>
      </c>
      <c r="E397" s="251">
        <f ca="1" t="shared" si="171"/>
        <v>0.317971505503864</v>
      </c>
      <c r="F397" s="269">
        <f ca="1" t="shared" si="187"/>
        <v>430.531681894754</v>
      </c>
      <c r="G397" s="283">
        <f ca="1" t="shared" si="188"/>
        <v>136.896807059186</v>
      </c>
      <c r="H397" s="279">
        <f ca="1" t="shared" si="189"/>
        <v>0.197971834366967</v>
      </c>
      <c r="I397" s="269">
        <f ca="1">SUM($J$125:J397)/SUM($H$125:H397)</f>
        <v>0.545862871856623</v>
      </c>
      <c r="J397" s="284">
        <f t="shared" si="195"/>
        <v>0.0829512033375579</v>
      </c>
      <c r="K397" s="19">
        <f t="shared" si="197"/>
        <v>28300</v>
      </c>
      <c r="L397" s="269">
        <f t="shared" si="190"/>
        <v>2.41499999999997</v>
      </c>
      <c r="M397" s="226">
        <f ca="1" t="shared" si="191"/>
        <v>68.1119999999999</v>
      </c>
      <c r="N397" s="280">
        <f ca="1" t="shared" si="196"/>
        <v>0.115020631029402</v>
      </c>
      <c r="O397" s="226">
        <f t="shared" si="200"/>
        <v>26.4</v>
      </c>
      <c r="P397" s="19">
        <f ca="1" t="shared" si="165"/>
        <v>16.8</v>
      </c>
      <c r="Q397" s="226">
        <f ca="1" t="shared" si="199"/>
        <v>2.58</v>
      </c>
      <c r="R397" s="269">
        <f ca="1" t="shared" si="172"/>
        <v>0.656418368166794</v>
      </c>
      <c r="S397" s="266">
        <f ca="1" t="shared" si="173"/>
        <v>61.6671479280651</v>
      </c>
      <c r="T397" s="226">
        <f ca="1">(1+OFFSET('玩法产出(新)'!$C$18,MATCH(X397,'玩法产出(新)'!$B$19:$B$25,0),1)*(1-V397)+OFFSET('玩法产出(新)'!$C$18,1+MATCH(X397,'玩法产出(新)'!$B$19:$B$25,0),1)*(V397))^AA397*(1+OFFSET('玩法产出(新)'!$C$18,MATCH(X397,'玩法产出(新)'!$B$19:$B$25,0),3)*(1-V397)+OFFSET('玩法产出(新)'!$C$18,1+MATCH(X397,'玩法产出(新)'!$B$19:$B$25,0),3)*(V397))^AB397*(1+OFFSET('玩法产出(新)'!$C$18,MATCH(X397,'玩法产出(新)'!$B$19:$B$25,0),4)*(1-V397)+OFFSET('玩法产出(新)'!$C$18,1+MATCH(X397,'玩法产出(新)'!$B$19:$B$25,0),4)*(V397))^AC397*(1+OFFSET('玩法产出(新)'!$C$18,MATCH(X397,'玩法产出(新)'!$B$19:$B$25,0),5)*(1+V397)+OFFSET('玩法产出(新)'!$C$18,1+MATCH(X397,'玩法产出(新)'!$B$19:$B$25,5),1)*(V397))^AD397*(1+OFFSET('玩法产出(新)'!$C$18,MATCH(X397,'玩法产出(新)'!$B$19:$B$25,0),6)*(1+V397)+OFFSET('玩法产出(新)'!$C$18,1+MATCH(X397,'玩法产出(新)'!$B$19:$B$25,0),6)*(V397))^AE397</f>
        <v>64.8654992694302</v>
      </c>
      <c r="U397" s="226">
        <f ca="1" t="shared" si="192"/>
        <v>0.119999671136904</v>
      </c>
      <c r="V397" s="226">
        <f ca="1">COUNTIF($X$124:$X397,X397)/(COUNTIF($X$124:$X$723,X397)+1)</f>
        <v>0.325773195876289</v>
      </c>
      <c r="W397" s="19">
        <v>30</v>
      </c>
      <c r="X397" s="19" t="s">
        <v>326</v>
      </c>
      <c r="Y397" s="19">
        <f t="shared" si="198"/>
        <v>28560</v>
      </c>
      <c r="Z397" s="19">
        <f ca="1" t="shared" si="174"/>
        <v>0.749316921649485</v>
      </c>
      <c r="AA397" s="282">
        <f ca="1" t="shared" si="175"/>
        <v>4.3305375</v>
      </c>
      <c r="AB397" s="282">
        <f ca="1" t="shared" si="176"/>
        <v>18</v>
      </c>
      <c r="AC397" s="282">
        <f ca="1" t="shared" si="177"/>
        <v>5.8434</v>
      </c>
      <c r="AD397" s="282">
        <f ca="1" t="shared" si="178"/>
        <v>1.46085</v>
      </c>
      <c r="AE397" s="282">
        <f ca="1" t="shared" si="179"/>
        <v>0.3652125</v>
      </c>
      <c r="AF397" s="19" t="str">
        <f t="shared" si="180"/>
        <v>彩1</v>
      </c>
      <c r="AG397" s="19">
        <f>IFERROR(_xlfn.XLOOKUP(C397+1,[2]基因升级!$E$141:$E$500,[2]基因升级!$D$141:$D$500)-1,AG396)</f>
        <v>97</v>
      </c>
      <c r="AH397" s="19">
        <v>7</v>
      </c>
      <c r="AI397" s="19">
        <f t="shared" si="181"/>
        <v>9.2039189417803</v>
      </c>
      <c r="AJ397" s="19">
        <f t="shared" si="193"/>
        <v>0</v>
      </c>
      <c r="AK397" s="269">
        <v>1.864</v>
      </c>
      <c r="AL397" s="287">
        <f t="shared" si="162"/>
        <v>12.5999999999999</v>
      </c>
      <c r="AM397" s="287">
        <f t="shared" si="163"/>
        <v>8.99999999999998</v>
      </c>
      <c r="AN397" s="287">
        <f t="shared" si="164"/>
        <v>5.4</v>
      </c>
      <c r="AO397" s="293"/>
      <c r="AQ397" s="19">
        <f t="shared" si="182"/>
        <v>2.3455008724879</v>
      </c>
      <c r="AR397" s="19">
        <f t="shared" si="183"/>
        <v>1.83845921242015</v>
      </c>
      <c r="AS397" s="19">
        <f t="shared" si="184"/>
        <v>1.44102793368283</v>
      </c>
      <c r="AT397" s="19">
        <f t="shared" si="185"/>
        <v>1</v>
      </c>
      <c r="AU397" s="19">
        <f t="shared" si="186"/>
        <v>1</v>
      </c>
      <c r="AV397" s="232">
        <f t="shared" si="166"/>
        <v>0.0399999999999991</v>
      </c>
      <c r="AW397" s="232">
        <f t="shared" si="167"/>
        <v>0.0399999999999991</v>
      </c>
      <c r="AX397" s="232">
        <f t="shared" si="168"/>
        <v>0.04</v>
      </c>
      <c r="AY397" s="232">
        <f t="shared" si="169"/>
        <v>0</v>
      </c>
      <c r="AZ397" s="232">
        <f t="shared" si="170"/>
        <v>0</v>
      </c>
    </row>
    <row r="398" spans="1:52">
      <c r="A398" s="269"/>
      <c r="C398" s="19">
        <v>275</v>
      </c>
      <c r="D398" s="86">
        <f ca="1" t="shared" si="194"/>
        <v>202.064187415242</v>
      </c>
      <c r="E398" s="251">
        <f ca="1" t="shared" si="171"/>
        <v>0.316980072610943</v>
      </c>
      <c r="F398" s="269">
        <f ca="1" t="shared" si="187"/>
        <v>432.499247233746</v>
      </c>
      <c r="G398" s="283">
        <f ca="1" t="shared" si="188"/>
        <v>137.093642792331</v>
      </c>
      <c r="H398" s="279">
        <f ca="1" t="shared" si="189"/>
        <v>0.196835733144951</v>
      </c>
      <c r="I398" s="269">
        <f ca="1">SUM($J$125:J398)/SUM($H$125:H398)</f>
        <v>0.54566819636494</v>
      </c>
      <c r="J398" s="284">
        <f t="shared" si="195"/>
        <v>0.0827033011780287</v>
      </c>
      <c r="K398" s="19">
        <f t="shared" si="197"/>
        <v>28400</v>
      </c>
      <c r="L398" s="269">
        <f t="shared" si="190"/>
        <v>2.41999999999997</v>
      </c>
      <c r="M398" s="226">
        <f ca="1" t="shared" si="191"/>
        <v>68.6399999999999</v>
      </c>
      <c r="N398" s="280">
        <f ca="1" t="shared" si="196"/>
        <v>0.114132431966908</v>
      </c>
      <c r="O398" s="226">
        <f t="shared" si="200"/>
        <v>26.4</v>
      </c>
      <c r="P398" s="19">
        <f ca="1" t="shared" si="165"/>
        <v>17</v>
      </c>
      <c r="Q398" s="226">
        <f ca="1" t="shared" si="199"/>
        <v>2.6</v>
      </c>
      <c r="R398" s="269">
        <f ca="1" t="shared" si="172"/>
        <v>0.657697249287562</v>
      </c>
      <c r="S398" s="266">
        <f ca="1" t="shared" si="173"/>
        <v>61.7872922675312</v>
      </c>
      <c r="T398" s="226">
        <f ca="1">(1+OFFSET('玩法产出(新)'!$C$18,MATCH(X398,'玩法产出(新)'!$B$19:$B$25,0),1)*(1-V398)+OFFSET('玩法产出(新)'!$C$18,1+MATCH(X398,'玩法产出(新)'!$B$19:$B$25,0),1)*(V398))^AA398*(1+OFFSET('玩法产出(新)'!$C$18,MATCH(X398,'玩法产出(新)'!$B$19:$B$25,0),3)*(1-V398)+OFFSET('玩法产出(新)'!$C$18,1+MATCH(X398,'玩法产出(新)'!$B$19:$B$25,0),3)*(V398))^AB398*(1+OFFSET('玩法产出(新)'!$C$18,MATCH(X398,'玩法产出(新)'!$B$19:$B$25,0),4)*(1-V398)+OFFSET('玩法产出(新)'!$C$18,1+MATCH(X398,'玩法产出(新)'!$B$19:$B$25,0),4)*(V398))^AC398*(1+OFFSET('玩法产出(新)'!$C$18,MATCH(X398,'玩法产出(新)'!$B$19:$B$25,0),5)*(1+V398)+OFFSET('玩法产出(新)'!$C$18,1+MATCH(X398,'玩法产出(新)'!$B$19:$B$25,5),1)*(V398))^AD398*(1+OFFSET('玩法产出(新)'!$C$18,MATCH(X398,'玩法产出(新)'!$B$19:$B$25,0),6)*(1+V398)+OFFSET('玩法产出(新)'!$C$18,1+MATCH(X398,'玩法产出(新)'!$B$19:$B$25,0),6)*(V398))^AE398</f>
        <v>65.3949270673929</v>
      </c>
      <c r="U398" s="226">
        <f ca="1" t="shared" si="192"/>
        <v>0.120144339466006</v>
      </c>
      <c r="V398" s="226">
        <f ca="1">COUNTIF($X$124:$X398,X398)/(COUNTIF($X$124:$X$723,X398)+1)</f>
        <v>0.327835051546392</v>
      </c>
      <c r="W398" s="19">
        <v>30</v>
      </c>
      <c r="X398" s="19" t="s">
        <v>326</v>
      </c>
      <c r="Y398" s="19">
        <f t="shared" si="198"/>
        <v>28660</v>
      </c>
      <c r="Z398" s="19">
        <f ca="1" t="shared" si="174"/>
        <v>0.744936722938144</v>
      </c>
      <c r="AA398" s="282">
        <f ca="1" t="shared" si="175"/>
        <v>4.303171875</v>
      </c>
      <c r="AB398" s="282">
        <f ca="1" t="shared" si="176"/>
        <v>18</v>
      </c>
      <c r="AC398" s="282">
        <f ca="1" t="shared" si="177"/>
        <v>5.86425</v>
      </c>
      <c r="AD398" s="282">
        <f ca="1" t="shared" si="178"/>
        <v>1.4660625</v>
      </c>
      <c r="AE398" s="282">
        <f ca="1" t="shared" si="179"/>
        <v>0.366515625</v>
      </c>
      <c r="AF398" s="19" t="str">
        <f t="shared" si="180"/>
        <v>彩1</v>
      </c>
      <c r="AG398" s="19">
        <f>IFERROR(_xlfn.XLOOKUP(C398+1,[2]基因升级!$E$141:$E$500,[2]基因升级!$D$141:$D$500)-1,AG397)</f>
        <v>97</v>
      </c>
      <c r="AH398" s="19">
        <v>7</v>
      </c>
      <c r="AI398" s="19">
        <f t="shared" si="181"/>
        <v>9.2039189417803</v>
      </c>
      <c r="AJ398" s="19">
        <f t="shared" si="193"/>
        <v>0</v>
      </c>
      <c r="AK398" s="269">
        <v>1.864</v>
      </c>
      <c r="AL398" s="287">
        <f t="shared" si="162"/>
        <v>12.6399999999999</v>
      </c>
      <c r="AM398" s="287">
        <f t="shared" si="163"/>
        <v>9.03999999999998</v>
      </c>
      <c r="AN398" s="287">
        <f t="shared" si="164"/>
        <v>5.44</v>
      </c>
      <c r="AO398" s="293"/>
      <c r="AQ398" s="19">
        <f t="shared" si="182"/>
        <v>2.35185720658881</v>
      </c>
      <c r="AR398" s="19">
        <f t="shared" si="183"/>
        <v>1.84344145784249</v>
      </c>
      <c r="AS398" s="19">
        <f t="shared" si="184"/>
        <v>1.44493313580946</v>
      </c>
      <c r="AT398" s="19">
        <f t="shared" si="185"/>
        <v>1</v>
      </c>
      <c r="AU398" s="19">
        <f t="shared" si="186"/>
        <v>1</v>
      </c>
      <c r="AV398" s="232">
        <f t="shared" si="166"/>
        <v>0.0399999999999991</v>
      </c>
      <c r="AW398" s="232">
        <f t="shared" si="167"/>
        <v>0.0399999999999991</v>
      </c>
      <c r="AX398" s="232">
        <f t="shared" si="168"/>
        <v>0.04</v>
      </c>
      <c r="AY398" s="232">
        <f t="shared" si="169"/>
        <v>0</v>
      </c>
      <c r="AZ398" s="232">
        <f t="shared" si="170"/>
        <v>0</v>
      </c>
    </row>
    <row r="399" spans="1:52">
      <c r="A399" s="269"/>
      <c r="C399" s="19">
        <v>276</v>
      </c>
      <c r="D399" s="86">
        <f ca="1" t="shared" si="194"/>
        <v>202.380191138541</v>
      </c>
      <c r="E399" s="251">
        <f ca="1" t="shared" si="171"/>
        <v>0.316003723298717</v>
      </c>
      <c r="F399" s="269">
        <f ca="1" t="shared" si="187"/>
        <v>434.454873387034</v>
      </c>
      <c r="G399" s="283">
        <f ca="1" t="shared" si="188"/>
        <v>137.289357595575</v>
      </c>
      <c r="H399" s="279">
        <f ca="1" t="shared" si="189"/>
        <v>0.195714803244812</v>
      </c>
      <c r="I399" s="269">
        <f ca="1">SUM($J$125:J399)/SUM($H$125:H399)</f>
        <v>0.545476991175006</v>
      </c>
      <c r="J399" s="284">
        <f t="shared" si="195"/>
        <v>0.0824569578929015</v>
      </c>
      <c r="K399" s="19">
        <f t="shared" si="197"/>
        <v>28500</v>
      </c>
      <c r="L399" s="269">
        <f t="shared" si="190"/>
        <v>2.42499999999997</v>
      </c>
      <c r="M399" s="226">
        <f ca="1" t="shared" si="191"/>
        <v>69.1679999999999</v>
      </c>
      <c r="N399" s="280">
        <f ca="1" t="shared" si="196"/>
        <v>0.113257845351946</v>
      </c>
      <c r="O399" s="226">
        <f t="shared" si="200"/>
        <v>26.4</v>
      </c>
      <c r="P399" s="19">
        <f ca="1" t="shared" si="165"/>
        <v>17.2</v>
      </c>
      <c r="Q399" s="226">
        <f ca="1" t="shared" si="199"/>
        <v>2.62</v>
      </c>
      <c r="R399" s="269">
        <f ca="1" t="shared" si="172"/>
        <v>0.658977669402051</v>
      </c>
      <c r="S399" s="266">
        <f ca="1" t="shared" si="173"/>
        <v>61.907581187585</v>
      </c>
      <c r="T399" s="226">
        <f ca="1">(1+OFFSET('玩法产出(新)'!$C$18,MATCH(X399,'玩法产出(新)'!$B$19:$B$25,0),1)*(1-V399)+OFFSET('玩法产出(新)'!$C$18,1+MATCH(X399,'玩法产出(新)'!$B$19:$B$25,0),1)*(V399))^AA399*(1+OFFSET('玩法产出(新)'!$C$18,MATCH(X399,'玩法产出(新)'!$B$19:$B$25,0),3)*(1-V399)+OFFSET('玩法产出(新)'!$C$18,1+MATCH(X399,'玩法产出(新)'!$B$19:$B$25,0),3)*(V399))^AB399*(1+OFFSET('玩法产出(新)'!$C$18,MATCH(X399,'玩法产出(新)'!$B$19:$B$25,0),4)*(1-V399)+OFFSET('玩法产出(新)'!$C$18,1+MATCH(X399,'玩法产出(新)'!$B$19:$B$25,0),4)*(V399))^AC399*(1+OFFSET('玩法产出(新)'!$C$18,MATCH(X399,'玩法产出(新)'!$B$19:$B$25,0),5)*(1+V399)+OFFSET('玩法产出(新)'!$C$18,1+MATCH(X399,'玩法产出(新)'!$B$19:$B$25,5),1)*(V399))^AD399*(1+OFFSET('玩法产出(新)'!$C$18,MATCH(X399,'玩法产出(新)'!$B$19:$B$25,0),6)*(1+V399)+OFFSET('玩法产出(新)'!$C$18,1+MATCH(X399,'玩法产出(新)'!$B$19:$B$25,0),6)*(V399))^AE399</f>
        <v>65.9293209449196</v>
      </c>
      <c r="U399" s="226">
        <f ca="1" t="shared" si="192"/>
        <v>0.12028892005387</v>
      </c>
      <c r="V399" s="226">
        <f ca="1">COUNTIF($X$124:$X399,X399)/(COUNTIF($X$124:$X$723,X399)+1)</f>
        <v>0.329896907216495</v>
      </c>
      <c r="W399" s="19">
        <v>30</v>
      </c>
      <c r="X399" s="19" t="s">
        <v>326</v>
      </c>
      <c r="Y399" s="19">
        <f t="shared" si="198"/>
        <v>28760</v>
      </c>
      <c r="Z399" s="19">
        <f ca="1" t="shared" si="174"/>
        <v>0.740552010309278</v>
      </c>
      <c r="AA399" s="282">
        <f ca="1" t="shared" si="175"/>
        <v>4.27580625</v>
      </c>
      <c r="AB399" s="282">
        <f ca="1" t="shared" si="176"/>
        <v>18</v>
      </c>
      <c r="AC399" s="282">
        <f ca="1" t="shared" si="177"/>
        <v>5.8851</v>
      </c>
      <c r="AD399" s="282">
        <f ca="1" t="shared" si="178"/>
        <v>1.471275</v>
      </c>
      <c r="AE399" s="282">
        <f ca="1" t="shared" si="179"/>
        <v>0.36781875</v>
      </c>
      <c r="AF399" s="19" t="str">
        <f t="shared" si="180"/>
        <v>彩1</v>
      </c>
      <c r="AG399" s="19">
        <f>IFERROR(_xlfn.XLOOKUP(C399+1,[2]基因升级!$E$141:$E$500,[2]基因升级!$D$141:$D$500)-1,AG398)</f>
        <v>97</v>
      </c>
      <c r="AH399" s="19">
        <v>7</v>
      </c>
      <c r="AI399" s="19">
        <f t="shared" si="181"/>
        <v>9.2039189417803</v>
      </c>
      <c r="AJ399" s="19">
        <f t="shared" si="193"/>
        <v>0</v>
      </c>
      <c r="AK399" s="269">
        <v>1.864</v>
      </c>
      <c r="AL399" s="287">
        <f t="shared" si="162"/>
        <v>12.6799999999999</v>
      </c>
      <c r="AM399" s="287">
        <f t="shared" si="163"/>
        <v>9.07999999999998</v>
      </c>
      <c r="AN399" s="287">
        <f t="shared" si="164"/>
        <v>5.48</v>
      </c>
      <c r="AO399" s="293"/>
      <c r="AQ399" s="19">
        <f t="shared" si="182"/>
        <v>2.35823076642759</v>
      </c>
      <c r="AR399" s="19">
        <f t="shared" si="183"/>
        <v>1.84843720520672</v>
      </c>
      <c r="AS399" s="19">
        <f t="shared" si="184"/>
        <v>1.44884892107836</v>
      </c>
      <c r="AT399" s="19">
        <f t="shared" si="185"/>
        <v>1</v>
      </c>
      <c r="AU399" s="19">
        <f t="shared" si="186"/>
        <v>1</v>
      </c>
      <c r="AV399" s="232">
        <f t="shared" si="166"/>
        <v>0.0399999999999991</v>
      </c>
      <c r="AW399" s="232">
        <f t="shared" si="167"/>
        <v>0.0399999999999991</v>
      </c>
      <c r="AX399" s="232">
        <f t="shared" si="168"/>
        <v>0.04</v>
      </c>
      <c r="AY399" s="232">
        <f t="shared" si="169"/>
        <v>0</v>
      </c>
      <c r="AZ399" s="232">
        <f t="shared" si="170"/>
        <v>0</v>
      </c>
    </row>
    <row r="400" spans="1:52">
      <c r="A400" s="269"/>
      <c r="C400" s="19">
        <v>277</v>
      </c>
      <c r="D400" s="86">
        <f ca="1" t="shared" si="194"/>
        <v>202.69523327042</v>
      </c>
      <c r="E400" s="251">
        <f ca="1" t="shared" si="171"/>
        <v>0.315042131879198</v>
      </c>
      <c r="F400" s="269">
        <f ca="1" t="shared" si="187"/>
        <v>436.398666725488</v>
      </c>
      <c r="G400" s="283">
        <f ca="1" t="shared" si="188"/>
        <v>137.483966314438</v>
      </c>
      <c r="H400" s="279">
        <f ca="1" t="shared" si="189"/>
        <v>0.194608718862128</v>
      </c>
      <c r="I400" s="269">
        <f ca="1">SUM($J$125:J400)/SUM($H$125:H400)</f>
        <v>0.545289183869666</v>
      </c>
      <c r="J400" s="284">
        <f t="shared" si="195"/>
        <v>0.0822121582337729</v>
      </c>
      <c r="K400" s="19">
        <f t="shared" si="197"/>
        <v>28600</v>
      </c>
      <c r="L400" s="269">
        <f t="shared" si="190"/>
        <v>2.42999999999997</v>
      </c>
      <c r="M400" s="226">
        <f ca="1" t="shared" si="191"/>
        <v>69.6959999999999</v>
      </c>
      <c r="N400" s="280">
        <f ca="1" t="shared" si="196"/>
        <v>0.112396560628348</v>
      </c>
      <c r="O400" s="226">
        <f t="shared" si="200"/>
        <v>26.4</v>
      </c>
      <c r="P400" s="19">
        <f ca="1" t="shared" si="165"/>
        <v>17.4</v>
      </c>
      <c r="Q400" s="226">
        <f ca="1" t="shared" si="199"/>
        <v>2.64</v>
      </c>
      <c r="R400" s="269">
        <f ca="1" t="shared" si="172"/>
        <v>0.66025962757754</v>
      </c>
      <c r="S400" s="266">
        <f ca="1" t="shared" si="173"/>
        <v>62.0280146006021</v>
      </c>
      <c r="T400" s="226">
        <f ca="1">(1+OFFSET('玩法产出(新)'!$C$18,MATCH(X400,'玩法产出(新)'!$B$19:$B$25,0),1)*(1-V400)+OFFSET('玩法产出(新)'!$C$18,1+MATCH(X400,'玩法产出(新)'!$B$19:$B$25,0),1)*(V400))^AA400*(1+OFFSET('玩法产出(新)'!$C$18,MATCH(X400,'玩法产出(新)'!$B$19:$B$25,0),3)*(1-V400)+OFFSET('玩法产出(新)'!$C$18,1+MATCH(X400,'玩法产出(新)'!$B$19:$B$25,0),3)*(V400))^AB400*(1+OFFSET('玩法产出(新)'!$C$18,MATCH(X400,'玩法产出(新)'!$B$19:$B$25,0),4)*(1-V400)+OFFSET('玩法产出(新)'!$C$18,1+MATCH(X400,'玩法产出(新)'!$B$19:$B$25,0),4)*(V400))^AC400*(1+OFFSET('玩法产出(新)'!$C$18,MATCH(X400,'玩法产出(新)'!$B$19:$B$25,0),5)*(1+V400)+OFFSET('玩法产出(新)'!$C$18,1+MATCH(X400,'玩法产出(新)'!$B$19:$B$25,5),1)*(V400))^AD400*(1+OFFSET('玩法产出(新)'!$C$18,MATCH(X400,'玩法产出(新)'!$B$19:$B$25,0),6)*(1+V400)+OFFSET('玩法产出(新)'!$C$18,1+MATCH(X400,'玩法产出(新)'!$B$19:$B$25,0),6)*(V400))^AE400</f>
        <v>66.4687315875129</v>
      </c>
      <c r="U400" s="226">
        <f ca="1" t="shared" si="192"/>
        <v>0.120433413017078</v>
      </c>
      <c r="V400" s="226">
        <f ca="1">COUNTIF($X$124:$X400,X400)/(COUNTIF($X$124:$X$723,X400)+1)</f>
        <v>0.331958762886598</v>
      </c>
      <c r="W400" s="19">
        <v>30</v>
      </c>
      <c r="X400" s="19" t="s">
        <v>326</v>
      </c>
      <c r="Y400" s="19">
        <f t="shared" si="198"/>
        <v>28860</v>
      </c>
      <c r="Z400" s="19">
        <f ca="1" t="shared" si="174"/>
        <v>0.736162783762886</v>
      </c>
      <c r="AA400" s="282">
        <f ca="1" t="shared" si="175"/>
        <v>4.248440625</v>
      </c>
      <c r="AB400" s="282">
        <f ca="1" t="shared" si="176"/>
        <v>18</v>
      </c>
      <c r="AC400" s="282">
        <f ca="1" t="shared" si="177"/>
        <v>5.90595</v>
      </c>
      <c r="AD400" s="282">
        <f ca="1" t="shared" si="178"/>
        <v>1.4764875</v>
      </c>
      <c r="AE400" s="282">
        <f ca="1" t="shared" si="179"/>
        <v>0.369121875</v>
      </c>
      <c r="AF400" s="19" t="str">
        <f t="shared" si="180"/>
        <v>彩1</v>
      </c>
      <c r="AG400" s="19">
        <f>IFERROR(_xlfn.XLOOKUP(C400+1,[2]基因升级!$E$141:$E$500,[2]基因升级!$D$141:$D$500)-1,AG399)</f>
        <v>97</v>
      </c>
      <c r="AH400" s="19">
        <v>7</v>
      </c>
      <c r="AI400" s="19">
        <f t="shared" si="181"/>
        <v>9.2039189417803</v>
      </c>
      <c r="AJ400" s="19">
        <f t="shared" si="193"/>
        <v>0</v>
      </c>
      <c r="AK400" s="269">
        <v>1.864</v>
      </c>
      <c r="AL400" s="287">
        <f t="shared" ref="AL400:AL463" si="201">AL399+0.04</f>
        <v>12.7199999999999</v>
      </c>
      <c r="AM400" s="287">
        <f t="shared" si="163"/>
        <v>9.11999999999998</v>
      </c>
      <c r="AN400" s="287">
        <f t="shared" si="164"/>
        <v>5.52</v>
      </c>
      <c r="AO400" s="293"/>
      <c r="AQ400" s="19">
        <f t="shared" si="182"/>
        <v>2.36462159868619</v>
      </c>
      <c r="AR400" s="19">
        <f t="shared" si="183"/>
        <v>1.85344649110324</v>
      </c>
      <c r="AS400" s="19">
        <f t="shared" si="184"/>
        <v>1.45277531816997</v>
      </c>
      <c r="AT400" s="19">
        <f t="shared" si="185"/>
        <v>1</v>
      </c>
      <c r="AU400" s="19">
        <f t="shared" si="186"/>
        <v>1</v>
      </c>
      <c r="AV400" s="232">
        <f t="shared" si="166"/>
        <v>0.0399999999999991</v>
      </c>
      <c r="AW400" s="232">
        <f t="shared" si="167"/>
        <v>0.0399999999999991</v>
      </c>
      <c r="AX400" s="232">
        <f t="shared" si="168"/>
        <v>0.04</v>
      </c>
      <c r="AY400" s="232">
        <f t="shared" si="169"/>
        <v>0</v>
      </c>
      <c r="AZ400" s="232">
        <f t="shared" si="170"/>
        <v>0</v>
      </c>
    </row>
    <row r="401" spans="1:52">
      <c r="A401" s="269"/>
      <c r="C401" s="19">
        <v>278</v>
      </c>
      <c r="D401" s="86">
        <f ca="1" t="shared" si="194"/>
        <v>203.009328252664</v>
      </c>
      <c r="E401" s="251">
        <f ca="1" t="shared" si="171"/>
        <v>0.314094982243203</v>
      </c>
      <c r="F401" s="269">
        <f ca="1" t="shared" si="187"/>
        <v>438.330731980957</v>
      </c>
      <c r="G401" s="283">
        <f ca="1" t="shared" si="188"/>
        <v>137.677483478209</v>
      </c>
      <c r="H401" s="279">
        <f ca="1" t="shared" si="189"/>
        <v>0.193517163771247</v>
      </c>
      <c r="I401" s="269">
        <f ca="1">SUM($J$125:J401)/SUM($H$125:H401)</f>
        <v>0.545104703971565</v>
      </c>
      <c r="J401" s="284">
        <f t="shared" si="195"/>
        <v>0.08196888715581</v>
      </c>
      <c r="K401" s="19">
        <f t="shared" si="197"/>
        <v>28700</v>
      </c>
      <c r="L401" s="269">
        <f t="shared" si="190"/>
        <v>2.43499999999997</v>
      </c>
      <c r="M401" s="226">
        <f ca="1" t="shared" si="191"/>
        <v>70.2239999999999</v>
      </c>
      <c r="N401" s="280">
        <f ca="1" t="shared" si="196"/>
        <v>0.11154827661543</v>
      </c>
      <c r="O401" s="226">
        <f t="shared" si="200"/>
        <v>26.4</v>
      </c>
      <c r="P401" s="19">
        <f ca="1" t="shared" si="165"/>
        <v>17.6</v>
      </c>
      <c r="Q401" s="226">
        <f ca="1" t="shared" si="199"/>
        <v>2.66</v>
      </c>
      <c r="R401" s="269">
        <f ca="1" t="shared" si="172"/>
        <v>0.661543122882541</v>
      </c>
      <c r="S401" s="266">
        <f ca="1" t="shared" si="173"/>
        <v>62.1485924190741</v>
      </c>
      <c r="T401" s="226">
        <f ca="1">(1+OFFSET('玩法产出(新)'!$C$18,MATCH(X401,'玩法产出(新)'!$B$19:$B$25,0),1)*(1-V401)+OFFSET('玩法产出(新)'!$C$18,1+MATCH(X401,'玩法产出(新)'!$B$19:$B$25,0),1)*(V401))^AA401*(1+OFFSET('玩法产出(新)'!$C$18,MATCH(X401,'玩法产出(新)'!$B$19:$B$25,0),3)*(1-V401)+OFFSET('玩法产出(新)'!$C$18,1+MATCH(X401,'玩法产出(新)'!$B$19:$B$25,0),3)*(V401))^AB401*(1+OFFSET('玩法产出(新)'!$C$18,MATCH(X401,'玩法产出(新)'!$B$19:$B$25,0),4)*(1-V401)+OFFSET('玩法产出(新)'!$C$18,1+MATCH(X401,'玩法产出(新)'!$B$19:$B$25,0),4)*(V401))^AC401*(1+OFFSET('玩法产出(新)'!$C$18,MATCH(X401,'玩法产出(新)'!$B$19:$B$25,0),5)*(1+V401)+OFFSET('玩法产出(新)'!$C$18,1+MATCH(X401,'玩法产出(新)'!$B$19:$B$25,5),1)*(V401))^AD401*(1+OFFSET('玩法产出(新)'!$C$18,MATCH(X401,'玩法产出(新)'!$B$19:$B$25,0),6)*(1+V401)+OFFSET('玩法产出(新)'!$C$18,1+MATCH(X401,'玩法产出(新)'!$B$19:$B$25,0),6)*(V401))^AE401</f>
        <v>67.013210233793</v>
      </c>
      <c r="U401" s="226">
        <f ca="1" t="shared" si="192"/>
        <v>0.120577818471963</v>
      </c>
      <c r="V401" s="226">
        <f ca="1">COUNTIF($X$124:$X401,X401)/(COUNTIF($X$124:$X$723,X401)+1)</f>
        <v>0.334020618556701</v>
      </c>
      <c r="W401" s="19">
        <v>30</v>
      </c>
      <c r="X401" s="19" t="s">
        <v>326</v>
      </c>
      <c r="Y401" s="19">
        <f t="shared" si="198"/>
        <v>28960</v>
      </c>
      <c r="Z401" s="19">
        <f ca="1" t="shared" si="174"/>
        <v>0.731769043298969</v>
      </c>
      <c r="AA401" s="282">
        <f ca="1" t="shared" si="175"/>
        <v>4.221075</v>
      </c>
      <c r="AB401" s="282">
        <f ca="1" t="shared" si="176"/>
        <v>18</v>
      </c>
      <c r="AC401" s="282">
        <f ca="1" t="shared" si="177"/>
        <v>5.9268</v>
      </c>
      <c r="AD401" s="282">
        <f ca="1" t="shared" si="178"/>
        <v>1.4817</v>
      </c>
      <c r="AE401" s="282">
        <f ca="1" t="shared" si="179"/>
        <v>0.370425</v>
      </c>
      <c r="AF401" s="19" t="str">
        <f t="shared" si="180"/>
        <v>彩1</v>
      </c>
      <c r="AG401" s="19">
        <f>IFERROR(_xlfn.XLOOKUP(C401+1,[2]基因升级!$E$141:$E$500,[2]基因升级!$D$141:$D$500)-1,AG400)</f>
        <v>98</v>
      </c>
      <c r="AH401" s="19">
        <v>7</v>
      </c>
      <c r="AI401" s="19">
        <f t="shared" si="181"/>
        <v>9.2039189417803</v>
      </c>
      <c r="AJ401" s="19">
        <f t="shared" si="193"/>
        <v>0</v>
      </c>
      <c r="AK401" s="269">
        <v>1.864</v>
      </c>
      <c r="AL401" s="287">
        <f t="shared" si="201"/>
        <v>12.7599999999999</v>
      </c>
      <c r="AM401" s="287">
        <f t="shared" ref="AM401:AM464" si="202">AL311</f>
        <v>9.15999999999998</v>
      </c>
      <c r="AN401" s="287">
        <f t="shared" si="164"/>
        <v>5.56</v>
      </c>
      <c r="AO401" s="293"/>
      <c r="AQ401" s="19">
        <f t="shared" si="182"/>
        <v>2.37102975017305</v>
      </c>
      <c r="AR401" s="19">
        <f t="shared" si="183"/>
        <v>1.85846935222165</v>
      </c>
      <c r="AS401" s="19">
        <f t="shared" si="184"/>
        <v>1.45671235584247</v>
      </c>
      <c r="AT401" s="19">
        <f t="shared" si="185"/>
        <v>1</v>
      </c>
      <c r="AU401" s="19">
        <f t="shared" si="186"/>
        <v>1</v>
      </c>
      <c r="AV401" s="232">
        <f t="shared" si="166"/>
        <v>0.0399999999999991</v>
      </c>
      <c r="AW401" s="232">
        <f t="shared" si="167"/>
        <v>0.0399999999999991</v>
      </c>
      <c r="AX401" s="232">
        <f t="shared" si="168"/>
        <v>0.04</v>
      </c>
      <c r="AY401" s="232">
        <f t="shared" si="169"/>
        <v>0</v>
      </c>
      <c r="AZ401" s="232">
        <f t="shared" si="170"/>
        <v>0</v>
      </c>
    </row>
    <row r="402" spans="1:52">
      <c r="A402" s="269"/>
      <c r="C402" s="19">
        <v>279</v>
      </c>
      <c r="D402" s="86">
        <f ca="1" t="shared" si="194"/>
        <v>203.322490220169</v>
      </c>
      <c r="E402" s="251">
        <f ca="1" t="shared" si="171"/>
        <v>0.313161967505601</v>
      </c>
      <c r="F402" s="269">
        <f ca="1" t="shared" si="187"/>
        <v>440.25117228424</v>
      </c>
      <c r="G402" s="283">
        <f ca="1" t="shared" si="188"/>
        <v>137.86992330918</v>
      </c>
      <c r="H402" s="279">
        <f ca="1" t="shared" si="189"/>
        <v>0.192439830971182</v>
      </c>
      <c r="I402" s="269">
        <f ca="1">SUM($J$125:J402)/SUM($H$125:H402)</f>
        <v>0.544923482878443</v>
      </c>
      <c r="J402" s="284">
        <f t="shared" si="195"/>
        <v>0.0817271298143254</v>
      </c>
      <c r="K402" s="19">
        <f t="shared" si="197"/>
        <v>28800</v>
      </c>
      <c r="L402" s="269">
        <f t="shared" si="190"/>
        <v>2.43999999999997</v>
      </c>
      <c r="M402" s="226">
        <f ca="1" t="shared" si="191"/>
        <v>70.7519999999999</v>
      </c>
      <c r="N402" s="280">
        <f ca="1" t="shared" si="196"/>
        <v>0.110712701156842</v>
      </c>
      <c r="O402" s="226">
        <f t="shared" si="200"/>
        <v>26.4</v>
      </c>
      <c r="P402" s="19">
        <f ca="1" t="shared" si="165"/>
        <v>17.8</v>
      </c>
      <c r="Q402" s="226">
        <f ca="1" t="shared" si="199"/>
        <v>2.68</v>
      </c>
      <c r="R402" s="269">
        <f ca="1" t="shared" si="172"/>
        <v>0.662828154386803</v>
      </c>
      <c r="S402" s="266">
        <f ca="1" t="shared" si="173"/>
        <v>62.2693145556085</v>
      </c>
      <c r="T402" s="226">
        <f ca="1">(1+OFFSET('玩法产出(新)'!$C$18,MATCH(X402,'玩法产出(新)'!$B$19:$B$25,0),1)*(1-V402)+OFFSET('玩法产出(新)'!$C$18,1+MATCH(X402,'玩法产出(新)'!$B$19:$B$25,0),1)*(V402))^AA402*(1+OFFSET('玩法产出(新)'!$C$18,MATCH(X402,'玩法产出(新)'!$B$19:$B$25,0),3)*(1-V402)+OFFSET('玩法产出(新)'!$C$18,1+MATCH(X402,'玩法产出(新)'!$B$19:$B$25,0),3)*(V402))^AB402*(1+OFFSET('玩法产出(新)'!$C$18,MATCH(X402,'玩法产出(新)'!$B$19:$B$25,0),4)*(1-V402)+OFFSET('玩法产出(新)'!$C$18,1+MATCH(X402,'玩法产出(新)'!$B$19:$B$25,0),4)*(V402))^AC402*(1+OFFSET('玩法产出(新)'!$C$18,MATCH(X402,'玩法产出(新)'!$B$19:$B$25,0),5)*(1+V402)+OFFSET('玩法产出(新)'!$C$18,1+MATCH(X402,'玩法产出(新)'!$B$19:$B$25,5),1)*(V402))^AD402*(1+OFFSET('玩法产出(新)'!$C$18,MATCH(X402,'玩法产出(新)'!$B$19:$B$25,0),6)*(1+V402)+OFFSET('玩法产出(新)'!$C$18,1+MATCH(X402,'玩法产出(新)'!$B$19:$B$25,0),6)*(V402))^AE402</f>
        <v>67.5628086818694</v>
      </c>
      <c r="U402" s="226">
        <f ca="1" t="shared" si="192"/>
        <v>0.120722136534433</v>
      </c>
      <c r="V402" s="226">
        <f ca="1">COUNTIF($X$124:$X402,X402)/(COUNTIF($X$124:$X$723,X402)+1)</f>
        <v>0.336082474226804</v>
      </c>
      <c r="W402" s="19">
        <v>30</v>
      </c>
      <c r="X402" s="19" t="s">
        <v>326</v>
      </c>
      <c r="Y402" s="19">
        <f t="shared" si="198"/>
        <v>29060</v>
      </c>
      <c r="Z402" s="19">
        <f ca="1" t="shared" si="174"/>
        <v>0.727370788917526</v>
      </c>
      <c r="AA402" s="282">
        <f ca="1" t="shared" si="175"/>
        <v>4.193709375</v>
      </c>
      <c r="AB402" s="282">
        <f ca="1" t="shared" si="176"/>
        <v>18</v>
      </c>
      <c r="AC402" s="282">
        <f ca="1" t="shared" si="177"/>
        <v>5.94765</v>
      </c>
      <c r="AD402" s="282">
        <f ca="1" t="shared" si="178"/>
        <v>1.4869125</v>
      </c>
      <c r="AE402" s="282">
        <f ca="1" t="shared" si="179"/>
        <v>0.371728125</v>
      </c>
      <c r="AF402" s="19" t="str">
        <f t="shared" si="180"/>
        <v>彩1</v>
      </c>
      <c r="AG402" s="19">
        <f>IFERROR(_xlfn.XLOOKUP(C402+1,[2]基因升级!$E$141:$E$500,[2]基因升级!$D$141:$D$500)-1,AG401)</f>
        <v>98</v>
      </c>
      <c r="AH402" s="19">
        <v>7</v>
      </c>
      <c r="AI402" s="19">
        <f t="shared" si="181"/>
        <v>9.2039189417803</v>
      </c>
      <c r="AJ402" s="19">
        <f t="shared" si="193"/>
        <v>0</v>
      </c>
      <c r="AK402" s="269">
        <v>1.864</v>
      </c>
      <c r="AL402" s="287">
        <f t="shared" si="201"/>
        <v>12.7999999999999</v>
      </c>
      <c r="AM402" s="287">
        <f t="shared" si="202"/>
        <v>9.19999999999997</v>
      </c>
      <c r="AN402" s="287">
        <f t="shared" si="164"/>
        <v>5.6</v>
      </c>
      <c r="AO402" s="293"/>
      <c r="AQ402" s="19">
        <f t="shared" si="182"/>
        <v>2.3774552678235</v>
      </c>
      <c r="AR402" s="19">
        <f t="shared" si="183"/>
        <v>1.86350582535095</v>
      </c>
      <c r="AS402" s="19">
        <f t="shared" si="184"/>
        <v>1.46066006293193</v>
      </c>
      <c r="AT402" s="19">
        <f t="shared" si="185"/>
        <v>1</v>
      </c>
      <c r="AU402" s="19">
        <f t="shared" si="186"/>
        <v>1</v>
      </c>
      <c r="AV402" s="232">
        <f t="shared" si="166"/>
        <v>0.0399999999999991</v>
      </c>
      <c r="AW402" s="232">
        <f t="shared" si="167"/>
        <v>0.0399999999999991</v>
      </c>
      <c r="AX402" s="232">
        <f t="shared" si="168"/>
        <v>0.04</v>
      </c>
      <c r="AY402" s="232">
        <f t="shared" si="169"/>
        <v>0</v>
      </c>
      <c r="AZ402" s="232">
        <f t="shared" si="170"/>
        <v>0</v>
      </c>
    </row>
    <row r="403" spans="1:52">
      <c r="A403" s="269"/>
      <c r="C403" s="19">
        <v>280</v>
      </c>
      <c r="D403" s="86">
        <f ca="1" t="shared" si="194"/>
        <v>203.634733009836</v>
      </c>
      <c r="E403" s="251">
        <f ca="1" t="shared" si="171"/>
        <v>0.312242789667157</v>
      </c>
      <c r="F403" s="269">
        <f ca="1" t="shared" si="187"/>
        <v>442.160089200768</v>
      </c>
      <c r="G403" s="283">
        <f ca="1" t="shared" si="188"/>
        <v>138.061299731527</v>
      </c>
      <c r="H403" s="279">
        <f ca="1" t="shared" si="189"/>
        <v>0.191376422346679</v>
      </c>
      <c r="I403" s="269">
        <f ca="1">SUM($J$125:J403)/SUM($H$125:H403)</f>
        <v>0.544745453801023</v>
      </c>
      <c r="J403" s="284">
        <f t="shared" si="195"/>
        <v>0.0814868715615091</v>
      </c>
      <c r="K403" s="19">
        <f t="shared" si="197"/>
        <v>28900</v>
      </c>
      <c r="L403" s="269">
        <f t="shared" si="190"/>
        <v>2.44499999999997</v>
      </c>
      <c r="M403" s="226">
        <f ca="1" t="shared" si="191"/>
        <v>71.2799999999999</v>
      </c>
      <c r="N403" s="280">
        <f ca="1" t="shared" si="196"/>
        <v>0.109889550785155</v>
      </c>
      <c r="O403" s="226">
        <f t="shared" si="200"/>
        <v>26.4</v>
      </c>
      <c r="P403" s="19">
        <f ca="1" t="shared" si="165"/>
        <v>18</v>
      </c>
      <c r="Q403" s="226">
        <f ca="1" t="shared" si="199"/>
        <v>2.7</v>
      </c>
      <c r="R403" s="269">
        <f ca="1" t="shared" si="172"/>
        <v>0.664114721161308</v>
      </c>
      <c r="S403" s="266">
        <f ca="1" t="shared" si="173"/>
        <v>62.390180922929</v>
      </c>
      <c r="T403" s="226">
        <f ca="1">(1+OFFSET('玩法产出(新)'!$C$18,MATCH(X403,'玩法产出(新)'!$B$19:$B$25,0),1)*(1-V403)+OFFSET('玩法产出(新)'!$C$18,1+MATCH(X403,'玩法产出(新)'!$B$19:$B$25,0),1)*(V403))^AA403*(1+OFFSET('玩法产出(新)'!$C$18,MATCH(X403,'玩法产出(新)'!$B$19:$B$25,0),3)*(1-V403)+OFFSET('玩法产出(新)'!$C$18,1+MATCH(X403,'玩法产出(新)'!$B$19:$B$25,0),3)*(V403))^AB403*(1+OFFSET('玩法产出(新)'!$C$18,MATCH(X403,'玩法产出(新)'!$B$19:$B$25,0),4)*(1-V403)+OFFSET('玩法产出(新)'!$C$18,1+MATCH(X403,'玩法产出(新)'!$B$19:$B$25,0),4)*(V403))^AC403*(1+OFFSET('玩法产出(新)'!$C$18,MATCH(X403,'玩法产出(新)'!$B$19:$B$25,0),5)*(1+V403)+OFFSET('玩法产出(新)'!$C$18,1+MATCH(X403,'玩法产出(新)'!$B$19:$B$25,5),1)*(V403))^AD403*(1+OFFSET('玩法产出(新)'!$C$18,MATCH(X403,'玩法产出(新)'!$B$19:$B$25,0),6)*(1+V403)+OFFSET('玩法产出(新)'!$C$18,1+MATCH(X403,'玩法产出(新)'!$B$19:$B$25,0),6)*(V403))^AE403</f>
        <v>68.1175792957924</v>
      </c>
      <c r="U403" s="226">
        <f ca="1" t="shared" si="192"/>
        <v>0.120866367320492</v>
      </c>
      <c r="V403" s="226">
        <f ca="1">COUNTIF($X$124:$X403,X403)/(COUNTIF($X$124:$X$723,X403)+1)</f>
        <v>0.338144329896907</v>
      </c>
      <c r="W403" s="19">
        <v>30</v>
      </c>
      <c r="X403" s="19" t="s">
        <v>326</v>
      </c>
      <c r="Y403" s="19">
        <f t="shared" si="198"/>
        <v>29160</v>
      </c>
      <c r="Z403" s="19">
        <f ca="1" t="shared" si="174"/>
        <v>0.722968020618557</v>
      </c>
      <c r="AA403" s="282">
        <f ca="1" t="shared" si="175"/>
        <v>4.16634375</v>
      </c>
      <c r="AB403" s="282">
        <f ca="1" t="shared" si="176"/>
        <v>18</v>
      </c>
      <c r="AC403" s="282">
        <f ca="1" t="shared" si="177"/>
        <v>5.9685</v>
      </c>
      <c r="AD403" s="282">
        <f ca="1" t="shared" si="178"/>
        <v>1.492125</v>
      </c>
      <c r="AE403" s="282">
        <f ca="1" t="shared" si="179"/>
        <v>0.37303125</v>
      </c>
      <c r="AF403" s="19" t="str">
        <f t="shared" si="180"/>
        <v>彩1</v>
      </c>
      <c r="AG403" s="19">
        <f>IFERROR(_xlfn.XLOOKUP(C403+1,[2]基因升级!$E$141:$E$500,[2]基因升级!$D$141:$D$500)-1,AG402)</f>
        <v>98</v>
      </c>
      <c r="AH403" s="19">
        <v>7</v>
      </c>
      <c r="AI403" s="19">
        <f t="shared" si="181"/>
        <v>9.2039189417803</v>
      </c>
      <c r="AJ403" s="19">
        <f t="shared" si="193"/>
        <v>0</v>
      </c>
      <c r="AK403" s="269">
        <v>1.864</v>
      </c>
      <c r="AL403" s="287">
        <f t="shared" si="201"/>
        <v>12.8399999999999</v>
      </c>
      <c r="AM403" s="287">
        <f t="shared" si="202"/>
        <v>9.23999999999997</v>
      </c>
      <c r="AN403" s="287">
        <f t="shared" si="164"/>
        <v>5.64</v>
      </c>
      <c r="AO403" s="293"/>
      <c r="AQ403" s="19">
        <f t="shared" si="182"/>
        <v>2.38389819870002</v>
      </c>
      <c r="AR403" s="19">
        <f t="shared" si="183"/>
        <v>1.86855594737984</v>
      </c>
      <c r="AS403" s="19">
        <f t="shared" si="184"/>
        <v>1.4646184683526</v>
      </c>
      <c r="AT403" s="19">
        <f t="shared" si="185"/>
        <v>1</v>
      </c>
      <c r="AU403" s="19">
        <f t="shared" si="186"/>
        <v>1</v>
      </c>
      <c r="AV403" s="232">
        <f t="shared" si="166"/>
        <v>0.0399999999999991</v>
      </c>
      <c r="AW403" s="232">
        <f t="shared" si="167"/>
        <v>0.0399999999999991</v>
      </c>
      <c r="AX403" s="232">
        <f t="shared" si="168"/>
        <v>0.04</v>
      </c>
      <c r="AY403" s="232">
        <f t="shared" si="169"/>
        <v>0</v>
      </c>
      <c r="AZ403" s="232">
        <f t="shared" si="170"/>
        <v>0</v>
      </c>
    </row>
    <row r="404" spans="1:52">
      <c r="A404" s="269"/>
      <c r="C404" s="19">
        <v>281</v>
      </c>
      <c r="D404" s="86">
        <f ca="1" t="shared" si="194"/>
        <v>203.946070169126</v>
      </c>
      <c r="E404" s="251">
        <f ca="1" t="shared" si="171"/>
        <v>0.31133715928977</v>
      </c>
      <c r="F404" s="269">
        <f ca="1" t="shared" si="187"/>
        <v>444.057582767356</v>
      </c>
      <c r="G404" s="283">
        <f ca="1" t="shared" si="188"/>
        <v>138.251626379871</v>
      </c>
      <c r="H404" s="279">
        <f ca="1" t="shared" si="189"/>
        <v>0.19032664834404</v>
      </c>
      <c r="I404" s="269">
        <f ca="1">SUM($J$125:J404)/SUM($H$125:H404)</f>
        <v>0.544570551703382</v>
      </c>
      <c r="J404" s="284">
        <f t="shared" si="195"/>
        <v>0.0812480979429608</v>
      </c>
      <c r="K404" s="19">
        <f t="shared" si="197"/>
        <v>29000</v>
      </c>
      <c r="L404" s="269">
        <f t="shared" si="190"/>
        <v>2.44999999999997</v>
      </c>
      <c r="M404" s="226">
        <f ca="1" t="shared" si="191"/>
        <v>71.8079999999999</v>
      </c>
      <c r="N404" s="280">
        <f ca="1" t="shared" si="196"/>
        <v>0.109078550401115</v>
      </c>
      <c r="O404" s="226">
        <f t="shared" si="200"/>
        <v>26.4</v>
      </c>
      <c r="P404" s="19">
        <f ca="1" t="shared" si="165"/>
        <v>18.2</v>
      </c>
      <c r="Q404" s="226">
        <f ca="1" t="shared" si="199"/>
        <v>2.72</v>
      </c>
      <c r="R404" s="269">
        <f ca="1" t="shared" si="172"/>
        <v>0.66540282227827</v>
      </c>
      <c r="S404" s="266">
        <f ca="1" t="shared" si="173"/>
        <v>62.5111914338747</v>
      </c>
      <c r="T404" s="226">
        <f ca="1">(1+OFFSET('玩法产出(新)'!$C$18,MATCH(X404,'玩法产出(新)'!$B$19:$B$25,0),1)*(1-V404)+OFFSET('玩法产出(新)'!$C$18,1+MATCH(X404,'玩法产出(新)'!$B$19:$B$25,0),1)*(V404))^AA404*(1+OFFSET('玩法产出(新)'!$C$18,MATCH(X404,'玩法产出(新)'!$B$19:$B$25,0),3)*(1-V404)+OFFSET('玩法产出(新)'!$C$18,1+MATCH(X404,'玩法产出(新)'!$B$19:$B$25,0),3)*(V404))^AB404*(1+OFFSET('玩法产出(新)'!$C$18,MATCH(X404,'玩法产出(新)'!$B$19:$B$25,0),4)*(1-V404)+OFFSET('玩法产出(新)'!$C$18,1+MATCH(X404,'玩法产出(新)'!$B$19:$B$25,0),4)*(V404))^AC404*(1+OFFSET('玩法产出(新)'!$C$18,MATCH(X404,'玩法产出(新)'!$B$19:$B$25,0),5)*(1+V404)+OFFSET('玩法产出(新)'!$C$18,1+MATCH(X404,'玩法产出(新)'!$B$19:$B$25,5),1)*(V404))^AD404*(1+OFFSET('玩法产出(新)'!$C$18,MATCH(X404,'玩法产出(新)'!$B$19:$B$25,0),6)*(1+V404)+OFFSET('玩法产出(新)'!$C$18,1+MATCH(X404,'玩法产出(新)'!$B$19:$B$25,0),6)*(V404))^AE404</f>
        <v>68.6775750120799</v>
      </c>
      <c r="U404" s="226">
        <f ca="1" t="shared" si="192"/>
        <v>0.121010510945694</v>
      </c>
      <c r="V404" s="226">
        <f ca="1">COUNTIF($X$124:$X404,X404)/(COUNTIF($X$124:$X$723,X404)+1)</f>
        <v>0.34020618556701</v>
      </c>
      <c r="W404" s="19">
        <v>30</v>
      </c>
      <c r="X404" s="19" t="s">
        <v>326</v>
      </c>
      <c r="Y404" s="19">
        <f t="shared" si="198"/>
        <v>29260</v>
      </c>
      <c r="Z404" s="19">
        <f ca="1" t="shared" si="174"/>
        <v>0.718560738402061</v>
      </c>
      <c r="AA404" s="282">
        <f ca="1" t="shared" si="175"/>
        <v>4.138978125</v>
      </c>
      <c r="AB404" s="282">
        <f ca="1" t="shared" si="176"/>
        <v>18</v>
      </c>
      <c r="AC404" s="282">
        <f ca="1" t="shared" si="177"/>
        <v>5.98935</v>
      </c>
      <c r="AD404" s="282">
        <f ca="1" t="shared" si="178"/>
        <v>1.4973375</v>
      </c>
      <c r="AE404" s="282">
        <f ca="1" t="shared" si="179"/>
        <v>0.374334375</v>
      </c>
      <c r="AF404" s="19" t="str">
        <f t="shared" si="180"/>
        <v>彩1</v>
      </c>
      <c r="AG404" s="19">
        <f>IFERROR(_xlfn.XLOOKUP(C404+1,[2]基因升级!$E$141:$E$500,[2]基因升级!$D$141:$D$500)-1,AG403)</f>
        <v>98</v>
      </c>
      <c r="AH404" s="19">
        <v>7</v>
      </c>
      <c r="AI404" s="19">
        <f t="shared" si="181"/>
        <v>9.2039189417803</v>
      </c>
      <c r="AJ404" s="19">
        <f t="shared" si="193"/>
        <v>0</v>
      </c>
      <c r="AK404" s="269">
        <v>1.864</v>
      </c>
      <c r="AL404" s="287">
        <f t="shared" si="201"/>
        <v>12.8799999999999</v>
      </c>
      <c r="AM404" s="287">
        <f t="shared" si="202"/>
        <v>9.27999999999997</v>
      </c>
      <c r="AN404" s="287">
        <f t="shared" si="164"/>
        <v>5.68</v>
      </c>
      <c r="AO404" s="293"/>
      <c r="AQ404" s="19">
        <f t="shared" si="182"/>
        <v>2.39035858999266</v>
      </c>
      <c r="AR404" s="19">
        <f t="shared" si="183"/>
        <v>1.87361975529699</v>
      </c>
      <c r="AS404" s="19">
        <f t="shared" si="184"/>
        <v>1.46858760109709</v>
      </c>
      <c r="AT404" s="19">
        <f t="shared" si="185"/>
        <v>1</v>
      </c>
      <c r="AU404" s="19">
        <f t="shared" si="186"/>
        <v>1</v>
      </c>
      <c r="AV404" s="232">
        <f t="shared" si="166"/>
        <v>0.0399999999999991</v>
      </c>
      <c r="AW404" s="232">
        <f t="shared" si="167"/>
        <v>0.0399999999999991</v>
      </c>
      <c r="AX404" s="232">
        <f t="shared" si="168"/>
        <v>0.04</v>
      </c>
      <c r="AY404" s="232">
        <f t="shared" si="169"/>
        <v>0</v>
      </c>
      <c r="AZ404" s="232">
        <f t="shared" si="170"/>
        <v>0</v>
      </c>
    </row>
    <row r="405" spans="1:52">
      <c r="A405" s="269"/>
      <c r="C405" s="19">
        <v>282</v>
      </c>
      <c r="D405" s="86">
        <f ca="1" t="shared" si="194"/>
        <v>204.256514964313</v>
      </c>
      <c r="E405" s="251">
        <f ca="1" t="shared" si="171"/>
        <v>0.310444795187129</v>
      </c>
      <c r="F405" s="269">
        <f ca="1" t="shared" si="187"/>
        <v>445.943751526205</v>
      </c>
      <c r="G405" s="283">
        <f ca="1" t="shared" si="188"/>
        <v>138.440916607533</v>
      </c>
      <c r="H405" s="279">
        <f ca="1" t="shared" si="189"/>
        <v>0.189290227661758</v>
      </c>
      <c r="I405" s="269">
        <f ca="1">SUM($J$125:J405)/SUM($H$125:H405)</f>
        <v>0.544398713245683</v>
      </c>
      <c r="J405" s="284">
        <f t="shared" si="195"/>
        <v>0.0810107946945209</v>
      </c>
      <c r="K405" s="19">
        <f t="shared" si="197"/>
        <v>29100</v>
      </c>
      <c r="L405" s="269">
        <f t="shared" si="190"/>
        <v>2.45499999999997</v>
      </c>
      <c r="M405" s="226">
        <f ca="1" t="shared" si="191"/>
        <v>72.3359999999999</v>
      </c>
      <c r="N405" s="280">
        <f ca="1" t="shared" si="196"/>
        <v>0.108279432967223</v>
      </c>
      <c r="O405" s="226">
        <f t="shared" si="200"/>
        <v>26.4</v>
      </c>
      <c r="P405" s="19">
        <f ca="1" t="shared" si="165"/>
        <v>18.4</v>
      </c>
      <c r="Q405" s="226">
        <f ca="1" t="shared" si="199"/>
        <v>2.74</v>
      </c>
      <c r="R405" s="269">
        <f ca="1" t="shared" si="172"/>
        <v>0.666692456811129</v>
      </c>
      <c r="S405" s="266">
        <f ca="1" t="shared" si="173"/>
        <v>62.6323460014001</v>
      </c>
      <c r="T405" s="226">
        <f ca="1">(1+OFFSET('玩法产出(新)'!$C$18,MATCH(X405,'玩法产出(新)'!$B$19:$B$25,0),1)*(1-V405)+OFFSET('玩法产出(新)'!$C$18,1+MATCH(X405,'玩法产出(新)'!$B$19:$B$25,0),1)*(V405))^AA405*(1+OFFSET('玩法产出(新)'!$C$18,MATCH(X405,'玩法产出(新)'!$B$19:$B$25,0),3)*(1-V405)+OFFSET('玩法产出(新)'!$C$18,1+MATCH(X405,'玩法产出(新)'!$B$19:$B$25,0),3)*(V405))^AB405*(1+OFFSET('玩法产出(新)'!$C$18,MATCH(X405,'玩法产出(新)'!$B$19:$B$25,0),4)*(1-V405)+OFFSET('玩法产出(新)'!$C$18,1+MATCH(X405,'玩法产出(新)'!$B$19:$B$25,0),4)*(V405))^AC405*(1+OFFSET('玩法产出(新)'!$C$18,MATCH(X405,'玩法产出(新)'!$B$19:$B$25,0),5)*(1+V405)+OFFSET('玩法产出(新)'!$C$18,1+MATCH(X405,'玩法产出(新)'!$B$19:$B$25,5),1)*(V405))^AD405*(1+OFFSET('玩法产出(新)'!$C$18,MATCH(X405,'玩法产出(新)'!$B$19:$B$25,0),6)*(1+V405)+OFFSET('玩法产出(新)'!$C$18,1+MATCH(X405,'玩法产出(新)'!$B$19:$B$25,0),6)*(V405))^AE405</f>
        <v>69.2428493463234</v>
      </c>
      <c r="U405" s="226">
        <f ca="1" t="shared" si="192"/>
        <v>0.121154567525385</v>
      </c>
      <c r="V405" s="226">
        <f ca="1">COUNTIF($X$124:$X405,X405)/(COUNTIF($X$124:$X$723,X405)+1)</f>
        <v>0.342268041237113</v>
      </c>
      <c r="W405" s="19">
        <v>30</v>
      </c>
      <c r="X405" s="19" t="s">
        <v>326</v>
      </c>
      <c r="Y405" s="19">
        <f t="shared" si="198"/>
        <v>29360</v>
      </c>
      <c r="Z405" s="19">
        <f ca="1" t="shared" si="174"/>
        <v>0.714148942268041</v>
      </c>
      <c r="AA405" s="282">
        <f ca="1" t="shared" si="175"/>
        <v>4.1116125</v>
      </c>
      <c r="AB405" s="282">
        <f ca="1" t="shared" si="176"/>
        <v>18</v>
      </c>
      <c r="AC405" s="282">
        <f ca="1" t="shared" si="177"/>
        <v>6.0102</v>
      </c>
      <c r="AD405" s="282">
        <f ca="1" t="shared" si="178"/>
        <v>1.50255</v>
      </c>
      <c r="AE405" s="282">
        <f ca="1" t="shared" si="179"/>
        <v>0.3756375</v>
      </c>
      <c r="AF405" s="19" t="str">
        <f t="shared" si="180"/>
        <v>彩1</v>
      </c>
      <c r="AG405" s="19">
        <f>IFERROR(_xlfn.XLOOKUP(C405+1,[2]基因升级!$E$141:$E$500,[2]基因升级!$D$141:$D$500)-1,AG404)</f>
        <v>98</v>
      </c>
      <c r="AH405" s="19">
        <v>7</v>
      </c>
      <c r="AI405" s="19">
        <f t="shared" si="181"/>
        <v>9.2039189417803</v>
      </c>
      <c r="AJ405" s="19">
        <f t="shared" si="193"/>
        <v>0</v>
      </c>
      <c r="AK405" s="269">
        <v>1.864</v>
      </c>
      <c r="AL405" s="287">
        <f t="shared" si="201"/>
        <v>12.9199999999999</v>
      </c>
      <c r="AM405" s="287">
        <f t="shared" si="202"/>
        <v>9.31999999999997</v>
      </c>
      <c r="AN405" s="287">
        <f t="shared" si="164"/>
        <v>5.72</v>
      </c>
      <c r="AO405" s="293"/>
      <c r="AQ405" s="19">
        <f t="shared" si="182"/>
        <v>2.39683648901934</v>
      </c>
      <c r="AR405" s="19">
        <f t="shared" si="183"/>
        <v>1.87869728619132</v>
      </c>
      <c r="AS405" s="19">
        <f t="shared" si="184"/>
        <v>1.47256749023656</v>
      </c>
      <c r="AT405" s="19">
        <f t="shared" si="185"/>
        <v>1</v>
      </c>
      <c r="AU405" s="19">
        <f t="shared" si="186"/>
        <v>1</v>
      </c>
      <c r="AV405" s="232">
        <f t="shared" si="166"/>
        <v>0.0399999999999991</v>
      </c>
      <c r="AW405" s="232">
        <f t="shared" si="167"/>
        <v>0.0399999999999991</v>
      </c>
      <c r="AX405" s="232">
        <f t="shared" si="168"/>
        <v>0.04</v>
      </c>
      <c r="AY405" s="232">
        <f t="shared" si="169"/>
        <v>0</v>
      </c>
      <c r="AZ405" s="232">
        <f t="shared" si="170"/>
        <v>0</v>
      </c>
    </row>
    <row r="406" spans="1:52">
      <c r="A406" s="269"/>
      <c r="C406" s="19">
        <v>283</v>
      </c>
      <c r="D406" s="86">
        <f ca="1" t="shared" si="194"/>
        <v>204.566080388441</v>
      </c>
      <c r="E406" s="251">
        <f ca="1" t="shared" si="171"/>
        <v>0.30956542412826</v>
      </c>
      <c r="F406" s="269">
        <f ca="1" t="shared" si="187"/>
        <v>447.818692558665</v>
      </c>
      <c r="G406" s="283">
        <f ca="1" t="shared" si="188"/>
        <v>138.629183494486</v>
      </c>
      <c r="H406" s="279">
        <f ca="1" t="shared" si="189"/>
        <v>0.188266886953642</v>
      </c>
      <c r="I406" s="269">
        <f ca="1">SUM($J$125:J406)/SUM($H$125:H406)</f>
        <v>0.544229876729154</v>
      </c>
      <c r="J406" s="284">
        <f t="shared" si="195"/>
        <v>0.0807749477391724</v>
      </c>
      <c r="K406" s="19">
        <f t="shared" si="197"/>
        <v>29200</v>
      </c>
      <c r="L406" s="269">
        <f t="shared" si="190"/>
        <v>2.45999999999997</v>
      </c>
      <c r="M406" s="226">
        <f ca="1" t="shared" si="191"/>
        <v>72.8639999999999</v>
      </c>
      <c r="N406" s="280">
        <f ca="1" t="shared" si="196"/>
        <v>0.107491939214455</v>
      </c>
      <c r="O406" s="226">
        <f t="shared" si="200"/>
        <v>26.4</v>
      </c>
      <c r="P406" s="19">
        <f ca="1" t="shared" si="165"/>
        <v>18.6</v>
      </c>
      <c r="Q406" s="226">
        <f ca="1" t="shared" si="199"/>
        <v>2.76</v>
      </c>
      <c r="R406" s="269">
        <f ca="1" t="shared" si="172"/>
        <v>0.667983623834551</v>
      </c>
      <c r="S406" s="266">
        <f ca="1" t="shared" si="173"/>
        <v>62.7536445385747</v>
      </c>
      <c r="T406" s="226">
        <f ca="1">(1+OFFSET('玩法产出(新)'!$C$18,MATCH(X406,'玩法产出(新)'!$B$19:$B$25,0),1)*(1-V406)+OFFSET('玩法产出(新)'!$C$18,1+MATCH(X406,'玩法产出(新)'!$B$19:$B$25,0),1)*(V406))^AA406*(1+OFFSET('玩法产出(新)'!$C$18,MATCH(X406,'玩法产出(新)'!$B$19:$B$25,0),3)*(1-V406)+OFFSET('玩法产出(新)'!$C$18,1+MATCH(X406,'玩法产出(新)'!$B$19:$B$25,0),3)*(V406))^AB406*(1+OFFSET('玩法产出(新)'!$C$18,MATCH(X406,'玩法产出(新)'!$B$19:$B$25,0),4)*(1-V406)+OFFSET('玩法产出(新)'!$C$18,1+MATCH(X406,'玩法产出(新)'!$B$19:$B$25,0),4)*(V406))^AC406*(1+OFFSET('玩法产出(新)'!$C$18,MATCH(X406,'玩法产出(新)'!$B$19:$B$25,0),5)*(1+V406)+OFFSET('玩法产出(新)'!$C$18,1+MATCH(X406,'玩法产出(新)'!$B$19:$B$25,5),1)*(V406))^AD406*(1+OFFSET('玩法产出(新)'!$C$18,MATCH(X406,'玩法产出(新)'!$B$19:$B$25,0),6)*(1+V406)+OFFSET('玩法产出(新)'!$C$18,1+MATCH(X406,'玩法产出(新)'!$B$19:$B$25,0),6)*(V406))^AE406</f>
        <v>69.8134563998746</v>
      </c>
      <c r="U406" s="226">
        <f ca="1" t="shared" si="192"/>
        <v>0.121298537174633</v>
      </c>
      <c r="V406" s="226">
        <f ca="1">COUNTIF($X$124:$X406,X406)/(COUNTIF($X$124:$X$723,X406)+1)</f>
        <v>0.344329896907216</v>
      </c>
      <c r="W406" s="19">
        <v>30</v>
      </c>
      <c r="X406" s="19" t="s">
        <v>326</v>
      </c>
      <c r="Y406" s="19">
        <f t="shared" si="198"/>
        <v>29460</v>
      </c>
      <c r="Z406" s="19">
        <f ca="1" t="shared" si="174"/>
        <v>0.709732632216495</v>
      </c>
      <c r="AA406" s="282">
        <f ca="1" t="shared" si="175"/>
        <v>4.084246875</v>
      </c>
      <c r="AB406" s="282">
        <f ca="1" t="shared" si="176"/>
        <v>18</v>
      </c>
      <c r="AC406" s="282">
        <f ca="1" t="shared" si="177"/>
        <v>6.03105</v>
      </c>
      <c r="AD406" s="282">
        <f ca="1" t="shared" si="178"/>
        <v>1.5077625</v>
      </c>
      <c r="AE406" s="282">
        <f ca="1" t="shared" si="179"/>
        <v>0.376940625</v>
      </c>
      <c r="AF406" s="19" t="str">
        <f t="shared" si="180"/>
        <v>彩1</v>
      </c>
      <c r="AG406" s="19">
        <f>IFERROR(_xlfn.XLOOKUP(C406+1,[2]基因升级!$E$141:$E$500,[2]基因升级!$D$141:$D$500)-1,AG405)</f>
        <v>98</v>
      </c>
      <c r="AH406" s="19">
        <v>7</v>
      </c>
      <c r="AI406" s="19">
        <f t="shared" si="181"/>
        <v>9.2039189417803</v>
      </c>
      <c r="AJ406" s="19">
        <f t="shared" si="193"/>
        <v>0</v>
      </c>
      <c r="AK406" s="269">
        <v>1.864</v>
      </c>
      <c r="AL406" s="287">
        <f t="shared" si="201"/>
        <v>12.9599999999999</v>
      </c>
      <c r="AM406" s="287">
        <f t="shared" si="202"/>
        <v>9.35999999999997</v>
      </c>
      <c r="AN406" s="287">
        <f t="shared" si="164"/>
        <v>5.76</v>
      </c>
      <c r="AO406" s="293"/>
      <c r="AQ406" s="19">
        <f t="shared" si="182"/>
        <v>2.40333194322623</v>
      </c>
      <c r="AR406" s="19">
        <f t="shared" si="183"/>
        <v>1.88378857725226</v>
      </c>
      <c r="AS406" s="19">
        <f t="shared" si="184"/>
        <v>1.47655816492097</v>
      </c>
      <c r="AT406" s="19">
        <f t="shared" si="185"/>
        <v>1</v>
      </c>
      <c r="AU406" s="19">
        <f t="shared" si="186"/>
        <v>1</v>
      </c>
      <c r="AV406" s="232">
        <f t="shared" si="166"/>
        <v>0.0399999999999991</v>
      </c>
      <c r="AW406" s="232">
        <f t="shared" si="167"/>
        <v>0.0399999999999991</v>
      </c>
      <c r="AX406" s="232">
        <f t="shared" si="168"/>
        <v>0.04</v>
      </c>
      <c r="AY406" s="232">
        <f t="shared" si="169"/>
        <v>0</v>
      </c>
      <c r="AZ406" s="232">
        <f t="shared" si="170"/>
        <v>0</v>
      </c>
    </row>
    <row r="407" spans="1:52">
      <c r="A407" s="269"/>
      <c r="C407" s="19">
        <v>284</v>
      </c>
      <c r="D407" s="86">
        <f ca="1" t="shared" si="194"/>
        <v>204.874779168996</v>
      </c>
      <c r="E407" s="251">
        <f ca="1" t="shared" si="171"/>
        <v>0.308698780554195</v>
      </c>
      <c r="F407" s="269">
        <f ca="1" t="shared" si="187"/>
        <v>449.682501517565</v>
      </c>
      <c r="G407" s="283">
        <f ca="1" t="shared" si="188"/>
        <v>138.816439855032</v>
      </c>
      <c r="H407" s="279">
        <f ca="1" t="shared" si="189"/>
        <v>0.187256360545803</v>
      </c>
      <c r="I407" s="269">
        <f ca="1">SUM($J$125:J407)/SUM($H$125:H407)</f>
        <v>0.544063982043222</v>
      </c>
      <c r="J407" s="284">
        <f t="shared" si="195"/>
        <v>0.0805405431838864</v>
      </c>
      <c r="K407" s="19">
        <f t="shared" si="197"/>
        <v>29300</v>
      </c>
      <c r="L407" s="269">
        <f t="shared" si="190"/>
        <v>2.46499999999997</v>
      </c>
      <c r="M407" s="226">
        <f ca="1" t="shared" si="191"/>
        <v>73.3919999999999</v>
      </c>
      <c r="N407" s="280">
        <f ca="1" t="shared" si="196"/>
        <v>0.106715817361938</v>
      </c>
      <c r="O407" s="226">
        <f t="shared" si="200"/>
        <v>26.4</v>
      </c>
      <c r="P407" s="19">
        <f ca="1" t="shared" si="165"/>
        <v>18.8</v>
      </c>
      <c r="Q407" s="226">
        <f ca="1" t="shared" si="199"/>
        <v>2.78</v>
      </c>
      <c r="R407" s="269">
        <f ca="1" t="shared" si="172"/>
        <v>0.669276322424424</v>
      </c>
      <c r="S407" s="266">
        <f ca="1" t="shared" si="173"/>
        <v>62.8750869585831</v>
      </c>
      <c r="T407" s="226">
        <f ca="1">(1+OFFSET('玩法产出(新)'!$C$18,MATCH(X407,'玩法产出(新)'!$B$19:$B$25,0),1)*(1-V407)+OFFSET('玩法产出(新)'!$C$18,1+MATCH(X407,'玩法产出(新)'!$B$19:$B$25,0),1)*(V407))^AA407*(1+OFFSET('玩法产出(新)'!$C$18,MATCH(X407,'玩法产出(新)'!$B$19:$B$25,0),3)*(1-V407)+OFFSET('玩法产出(新)'!$C$18,1+MATCH(X407,'玩法产出(新)'!$B$19:$B$25,0),3)*(V407))^AB407*(1+OFFSET('玩法产出(新)'!$C$18,MATCH(X407,'玩法产出(新)'!$B$19:$B$25,0),4)*(1-V407)+OFFSET('玩法产出(新)'!$C$18,1+MATCH(X407,'玩法产出(新)'!$B$19:$B$25,0),4)*(V407))^AC407*(1+OFFSET('玩法产出(新)'!$C$18,MATCH(X407,'玩法产出(新)'!$B$19:$B$25,0),5)*(1+V407)+OFFSET('玩法产出(新)'!$C$18,1+MATCH(X407,'玩法产出(新)'!$B$19:$B$25,5),1)*(V407))^AD407*(1+OFFSET('玩法产出(新)'!$C$18,MATCH(X407,'玩法产出(新)'!$B$19:$B$25,0),6)*(1+V407)+OFFSET('玩法产出(新)'!$C$18,1+MATCH(X407,'玩法产出(新)'!$B$19:$B$25,0),6)*(V407))^AE407</f>
        <v>70.3894508666129</v>
      </c>
      <c r="U407" s="226">
        <f ca="1" t="shared" si="192"/>
        <v>0.121442420008371</v>
      </c>
      <c r="V407" s="226">
        <f ca="1">COUNTIF($X$124:$X407,X407)/(COUNTIF($X$124:$X$723,X407)+1)</f>
        <v>0.34639175257732</v>
      </c>
      <c r="W407" s="19">
        <v>30</v>
      </c>
      <c r="X407" s="19" t="s">
        <v>326</v>
      </c>
      <c r="Y407" s="19">
        <f t="shared" si="198"/>
        <v>29560</v>
      </c>
      <c r="Z407" s="19">
        <f ca="1" t="shared" si="174"/>
        <v>0.705311808247423</v>
      </c>
      <c r="AA407" s="282">
        <f ca="1" t="shared" si="175"/>
        <v>4.05688125</v>
      </c>
      <c r="AB407" s="282">
        <f ca="1" t="shared" si="176"/>
        <v>18</v>
      </c>
      <c r="AC407" s="282">
        <f ca="1" t="shared" si="177"/>
        <v>6.0519</v>
      </c>
      <c r="AD407" s="282">
        <f ca="1" t="shared" si="178"/>
        <v>1.512975</v>
      </c>
      <c r="AE407" s="282">
        <f ca="1" t="shared" si="179"/>
        <v>0.37824375</v>
      </c>
      <c r="AF407" s="19" t="str">
        <f t="shared" si="180"/>
        <v>彩1</v>
      </c>
      <c r="AG407" s="19">
        <f>IFERROR(_xlfn.XLOOKUP(C407+1,[2]基因升级!$E$141:$E$500,[2]基因升级!$D$141:$D$500)-1,AG406)</f>
        <v>98</v>
      </c>
      <c r="AH407" s="19">
        <v>7</v>
      </c>
      <c r="AI407" s="19">
        <f t="shared" si="181"/>
        <v>9.2039189417803</v>
      </c>
      <c r="AJ407" s="19">
        <f t="shared" si="193"/>
        <v>0</v>
      </c>
      <c r="AK407" s="269">
        <v>1.864</v>
      </c>
      <c r="AL407" s="287">
        <f t="shared" si="201"/>
        <v>12.9999999999999</v>
      </c>
      <c r="AM407" s="287">
        <f t="shared" si="202"/>
        <v>9.39999999999997</v>
      </c>
      <c r="AN407" s="287">
        <f t="shared" si="164"/>
        <v>5.8</v>
      </c>
      <c r="AO407" s="293"/>
      <c r="AQ407" s="19">
        <f t="shared" si="182"/>
        <v>2.40984500018807</v>
      </c>
      <c r="AR407" s="19">
        <f t="shared" si="183"/>
        <v>1.88889366577</v>
      </c>
      <c r="AS407" s="19">
        <f t="shared" si="184"/>
        <v>1.48055965437925</v>
      </c>
      <c r="AT407" s="19">
        <f t="shared" si="185"/>
        <v>1</v>
      </c>
      <c r="AU407" s="19">
        <f t="shared" si="186"/>
        <v>1</v>
      </c>
      <c r="AV407" s="232">
        <f t="shared" si="166"/>
        <v>0.0399999999999991</v>
      </c>
      <c r="AW407" s="232">
        <f t="shared" si="167"/>
        <v>0.0399999999999991</v>
      </c>
      <c r="AX407" s="232">
        <f t="shared" si="168"/>
        <v>0.04</v>
      </c>
      <c r="AY407" s="232">
        <f t="shared" si="169"/>
        <v>0</v>
      </c>
      <c r="AZ407" s="232">
        <f t="shared" si="170"/>
        <v>0</v>
      </c>
    </row>
    <row r="408" spans="1:52">
      <c r="A408" s="269"/>
      <c r="C408" s="19">
        <v>285</v>
      </c>
      <c r="D408" s="86">
        <f ca="1" t="shared" si="194"/>
        <v>205.182623775302</v>
      </c>
      <c r="E408" s="251">
        <f ca="1" t="shared" si="171"/>
        <v>0.307844606305968</v>
      </c>
      <c r="F408" s="269">
        <f ca="1" t="shared" si="187"/>
        <v>451.535272659744</v>
      </c>
      <c r="G408" s="283">
        <f ca="1" t="shared" si="188"/>
        <v>139.002698245197</v>
      </c>
      <c r="H408" s="279">
        <f ca="1" t="shared" si="189"/>
        <v>0.186258390164795</v>
      </c>
      <c r="I408" s="269">
        <f ca="1">SUM($J$125:J408)/SUM($H$125:H408)</f>
        <v>0.543900970614688</v>
      </c>
      <c r="J408" s="284">
        <f t="shared" si="195"/>
        <v>0.0803075673163818</v>
      </c>
      <c r="K408" s="19">
        <f t="shared" si="197"/>
        <v>29400</v>
      </c>
      <c r="L408" s="269">
        <f t="shared" si="190"/>
        <v>2.46999999999997</v>
      </c>
      <c r="M408" s="226">
        <f ca="1" t="shared" si="191"/>
        <v>73.9199999999999</v>
      </c>
      <c r="N408" s="280">
        <f ca="1" t="shared" si="196"/>
        <v>0.105950822848421</v>
      </c>
      <c r="O408" s="226">
        <f t="shared" si="200"/>
        <v>26.4</v>
      </c>
      <c r="P408" s="19">
        <f ca="1" t="shared" si="165"/>
        <v>19</v>
      </c>
      <c r="Q408" s="226">
        <f ca="1" t="shared" si="199"/>
        <v>2.8</v>
      </c>
      <c r="R408" s="269">
        <f ca="1" t="shared" si="172"/>
        <v>0.670570551657858</v>
      </c>
      <c r="S408" s="266">
        <f ca="1" t="shared" si="173"/>
        <v>62.9966731747242</v>
      </c>
      <c r="T408" s="226">
        <f ca="1">(1+OFFSET('玩法产出(新)'!$C$18,MATCH(X408,'玩法产出(新)'!$B$19:$B$25,0),1)*(1-V408)+OFFSET('玩法产出(新)'!$C$18,1+MATCH(X408,'玩法产出(新)'!$B$19:$B$25,0),1)*(V408))^AA408*(1+OFFSET('玩法产出(新)'!$C$18,MATCH(X408,'玩法产出(新)'!$B$19:$B$25,0),3)*(1-V408)+OFFSET('玩法产出(新)'!$C$18,1+MATCH(X408,'玩法产出(新)'!$B$19:$B$25,0),3)*(V408))^AB408*(1+OFFSET('玩法产出(新)'!$C$18,MATCH(X408,'玩法产出(新)'!$B$19:$B$25,0),4)*(1-V408)+OFFSET('玩法产出(新)'!$C$18,1+MATCH(X408,'玩法产出(新)'!$B$19:$B$25,0),4)*(V408))^AC408*(1+OFFSET('玩法产出(新)'!$C$18,MATCH(X408,'玩法产出(新)'!$B$19:$B$25,0),5)*(1+V408)+OFFSET('玩法产出(新)'!$C$18,1+MATCH(X408,'玩法产出(新)'!$B$19:$B$25,5),1)*(V408))^AD408*(1+OFFSET('玩法产出(新)'!$C$18,MATCH(X408,'玩法产出(新)'!$B$19:$B$25,0),6)*(1+V408)+OFFSET('玩法产出(新)'!$C$18,1+MATCH(X408,'玩法产出(新)'!$B$19:$B$25,0),6)*(V408))^AE408</f>
        <v>70.9708880397937</v>
      </c>
      <c r="U408" s="226">
        <f ca="1" t="shared" si="192"/>
        <v>0.121586216141166</v>
      </c>
      <c r="V408" s="226">
        <f ca="1">COUNTIF($X$124:$X408,X408)/(COUNTIF($X$124:$X$723,X408)+1)</f>
        <v>0.348453608247423</v>
      </c>
      <c r="W408" s="19">
        <v>30</v>
      </c>
      <c r="X408" s="19" t="s">
        <v>326</v>
      </c>
      <c r="Y408" s="19">
        <f t="shared" si="198"/>
        <v>29660</v>
      </c>
      <c r="Z408" s="19">
        <f ca="1" t="shared" si="174"/>
        <v>0.700886470360825</v>
      </c>
      <c r="AA408" s="282">
        <f ca="1" t="shared" si="175"/>
        <v>4.029515625</v>
      </c>
      <c r="AB408" s="282">
        <f ca="1" t="shared" si="176"/>
        <v>18</v>
      </c>
      <c r="AC408" s="282">
        <f ca="1" t="shared" si="177"/>
        <v>6.07275</v>
      </c>
      <c r="AD408" s="282">
        <f ca="1" t="shared" si="178"/>
        <v>1.5181875</v>
      </c>
      <c r="AE408" s="282">
        <f ca="1" t="shared" si="179"/>
        <v>0.379546875</v>
      </c>
      <c r="AF408" s="19" t="str">
        <f t="shared" si="180"/>
        <v>彩1</v>
      </c>
      <c r="AG408" s="19">
        <f>IFERROR(_xlfn.XLOOKUP(C408+1,[2]基因升级!$E$141:$E$500,[2]基因升级!$D$141:$D$500)-1,AG407)</f>
        <v>98</v>
      </c>
      <c r="AH408" s="19">
        <v>7</v>
      </c>
      <c r="AI408" s="19">
        <f t="shared" si="181"/>
        <v>9.2039189417803</v>
      </c>
      <c r="AJ408" s="19">
        <f t="shared" si="193"/>
        <v>0</v>
      </c>
      <c r="AK408" s="269">
        <v>1.864</v>
      </c>
      <c r="AL408" s="287">
        <f t="shared" si="201"/>
        <v>13.0399999999999</v>
      </c>
      <c r="AM408" s="287">
        <f t="shared" si="202"/>
        <v>9.43999999999997</v>
      </c>
      <c r="AN408" s="287">
        <f t="shared" si="164"/>
        <v>5.84</v>
      </c>
      <c r="AO408" s="293"/>
      <c r="AQ408" s="19">
        <f t="shared" si="182"/>
        <v>2.41637570760851</v>
      </c>
      <c r="AR408" s="19">
        <f t="shared" si="183"/>
        <v>1.89401258913582</v>
      </c>
      <c r="AS408" s="19">
        <f t="shared" si="184"/>
        <v>1.48457198791959</v>
      </c>
      <c r="AT408" s="19">
        <f t="shared" si="185"/>
        <v>1</v>
      </c>
      <c r="AU408" s="19">
        <f t="shared" si="186"/>
        <v>1</v>
      </c>
      <c r="AV408" s="232">
        <f t="shared" si="166"/>
        <v>0.0399999999999991</v>
      </c>
      <c r="AW408" s="232">
        <f t="shared" si="167"/>
        <v>0.0399999999999991</v>
      </c>
      <c r="AX408" s="232">
        <f t="shared" si="168"/>
        <v>0.04</v>
      </c>
      <c r="AY408" s="232">
        <f t="shared" si="169"/>
        <v>0</v>
      </c>
      <c r="AZ408" s="232">
        <f t="shared" si="170"/>
        <v>0</v>
      </c>
    </row>
    <row r="409" spans="1:52">
      <c r="A409" s="269"/>
      <c r="C409" s="19">
        <v>286</v>
      </c>
      <c r="D409" s="86">
        <f ca="1" t="shared" si="194"/>
        <v>205.489626425667</v>
      </c>
      <c r="E409" s="251">
        <f ca="1" t="shared" si="171"/>
        <v>0.307002650365374</v>
      </c>
      <c r="F409" s="269">
        <f ca="1" t="shared" si="187"/>
        <v>453.377098875929</v>
      </c>
      <c r="G409" s="283">
        <f ca="1" t="shared" si="188"/>
        <v>139.187970969875</v>
      </c>
      <c r="H409" s="279">
        <f ca="1" t="shared" si="189"/>
        <v>0.18527272467793</v>
      </c>
      <c r="I409" s="269">
        <f ca="1">SUM($J$125:J409)/SUM($H$125:H409)</f>
        <v>0.543740785358871</v>
      </c>
      <c r="J409" s="284">
        <f t="shared" si="195"/>
        <v>0.0800760066025106</v>
      </c>
      <c r="K409" s="19">
        <f t="shared" si="197"/>
        <v>29500</v>
      </c>
      <c r="L409" s="269">
        <f t="shared" si="190"/>
        <v>2.47499999999997</v>
      </c>
      <c r="M409" s="226">
        <f ca="1" t="shared" si="191"/>
        <v>74.4479999999999</v>
      </c>
      <c r="N409" s="280">
        <f ca="1" t="shared" si="196"/>
        <v>0.105196718075412</v>
      </c>
      <c r="O409" s="226">
        <f t="shared" si="200"/>
        <v>26.4</v>
      </c>
      <c r="P409" s="19">
        <f ca="1" t="shared" si="165"/>
        <v>19.2</v>
      </c>
      <c r="Q409" s="226">
        <f ca="1" t="shared" si="199"/>
        <v>2.82</v>
      </c>
      <c r="R409" s="269">
        <f ca="1" t="shared" si="172"/>
        <v>0.671866310613177</v>
      </c>
      <c r="S409" s="266">
        <f ca="1" t="shared" si="173"/>
        <v>63.1184031004117</v>
      </c>
      <c r="T409" s="226">
        <f ca="1">(1+OFFSET('玩法产出(新)'!$C$18,MATCH(X409,'玩法产出(新)'!$B$19:$B$25,0),1)*(1-V409)+OFFSET('玩法产出(新)'!$C$18,1+MATCH(X409,'玩法产出(新)'!$B$19:$B$25,0),1)*(V409))^AA409*(1+OFFSET('玩法产出(新)'!$C$18,MATCH(X409,'玩法产出(新)'!$B$19:$B$25,0),3)*(1-V409)+OFFSET('玩法产出(新)'!$C$18,1+MATCH(X409,'玩法产出(新)'!$B$19:$B$25,0),3)*(V409))^AB409*(1+OFFSET('玩法产出(新)'!$C$18,MATCH(X409,'玩法产出(新)'!$B$19:$B$25,0),4)*(1-V409)+OFFSET('玩法产出(新)'!$C$18,1+MATCH(X409,'玩法产出(新)'!$B$19:$B$25,0),4)*(V409))^AC409*(1+OFFSET('玩法产出(新)'!$C$18,MATCH(X409,'玩法产出(新)'!$B$19:$B$25,0),5)*(1+V409)+OFFSET('玩法产出(新)'!$C$18,1+MATCH(X409,'玩法产出(新)'!$B$19:$B$25,5),1)*(V409))^AD409*(1+OFFSET('玩法产出(新)'!$C$18,MATCH(X409,'玩法产出(新)'!$B$19:$B$25,0),6)*(1+V409)+OFFSET('玩法产出(新)'!$C$18,1+MATCH(X409,'玩法产出(新)'!$B$19:$B$25,0),6)*(V409))^AE409</f>
        <v>71.5578238189806</v>
      </c>
      <c r="U409" s="226">
        <f ca="1" t="shared" si="192"/>
        <v>0.121729925687452</v>
      </c>
      <c r="V409" s="226">
        <f ca="1">COUNTIF($X$124:$X409,X409)/(COUNTIF($X$124:$X$723,X409)+1)</f>
        <v>0.350515463917526</v>
      </c>
      <c r="W409" s="19">
        <v>30</v>
      </c>
      <c r="X409" s="19" t="s">
        <v>326</v>
      </c>
      <c r="Y409" s="19">
        <f t="shared" si="198"/>
        <v>29760</v>
      </c>
      <c r="Z409" s="19">
        <f ca="1" t="shared" si="174"/>
        <v>0.696456618556701</v>
      </c>
      <c r="AA409" s="282">
        <f ca="1" t="shared" si="175"/>
        <v>4.00215</v>
      </c>
      <c r="AB409" s="282">
        <f ca="1" t="shared" si="176"/>
        <v>18</v>
      </c>
      <c r="AC409" s="282">
        <f ca="1" t="shared" si="177"/>
        <v>6.0936</v>
      </c>
      <c r="AD409" s="282">
        <f ca="1" t="shared" si="178"/>
        <v>1.5234</v>
      </c>
      <c r="AE409" s="282">
        <f ca="1" t="shared" si="179"/>
        <v>0.38085</v>
      </c>
      <c r="AF409" s="19" t="str">
        <f t="shared" si="180"/>
        <v>彩1</v>
      </c>
      <c r="AG409" s="19">
        <f>IFERROR(_xlfn.XLOOKUP(C409+1,[2]基因升级!$E$141:$E$500,[2]基因升级!$D$141:$D$500)-1,AG408)</f>
        <v>98</v>
      </c>
      <c r="AH409" s="19">
        <v>7</v>
      </c>
      <c r="AI409" s="19">
        <f t="shared" si="181"/>
        <v>9.2039189417803</v>
      </c>
      <c r="AJ409" s="19">
        <f t="shared" si="193"/>
        <v>0</v>
      </c>
      <c r="AK409" s="269">
        <v>1.864</v>
      </c>
      <c r="AL409" s="287">
        <f t="shared" si="201"/>
        <v>13.0799999999999</v>
      </c>
      <c r="AM409" s="287">
        <f t="shared" si="202"/>
        <v>9.47999999999997</v>
      </c>
      <c r="AN409" s="287">
        <f t="shared" si="164"/>
        <v>5.88</v>
      </c>
      <c r="AO409" s="293"/>
      <c r="AQ409" s="19">
        <f t="shared" si="182"/>
        <v>2.4229241133205</v>
      </c>
      <c r="AR409" s="19">
        <f t="shared" si="183"/>
        <v>1.89914538484231</v>
      </c>
      <c r="AS409" s="19">
        <f t="shared" si="184"/>
        <v>1.48859519492955</v>
      </c>
      <c r="AT409" s="19">
        <f t="shared" si="185"/>
        <v>1</v>
      </c>
      <c r="AU409" s="19">
        <f t="shared" si="186"/>
        <v>1</v>
      </c>
      <c r="AV409" s="232">
        <f t="shared" si="166"/>
        <v>0.0399999999999991</v>
      </c>
      <c r="AW409" s="232">
        <f t="shared" si="167"/>
        <v>0.0399999999999991</v>
      </c>
      <c r="AX409" s="232">
        <f t="shared" si="168"/>
        <v>0.04</v>
      </c>
      <c r="AY409" s="232">
        <f t="shared" si="169"/>
        <v>0</v>
      </c>
      <c r="AZ409" s="232">
        <f t="shared" si="170"/>
        <v>0</v>
      </c>
    </row>
    <row r="410" spans="1:52">
      <c r="A410" s="269"/>
      <c r="C410" s="19">
        <v>287</v>
      </c>
      <c r="D410" s="86">
        <f ca="1" t="shared" si="194"/>
        <v>205.795799094273</v>
      </c>
      <c r="E410" s="251">
        <f ca="1" t="shared" si="171"/>
        <v>0.306172668605576</v>
      </c>
      <c r="F410" s="269">
        <f ca="1" t="shared" si="187"/>
        <v>455.208071721333</v>
      </c>
      <c r="G410" s="283">
        <f ca="1" t="shared" si="188"/>
        <v>139.372270089719</v>
      </c>
      <c r="H410" s="279">
        <f ca="1" t="shared" si="189"/>
        <v>0.184299119844184</v>
      </c>
      <c r="I410" s="269">
        <f ca="1">SUM($J$125:J410)/SUM($H$125:H410)</f>
        <v>0.54358337063261</v>
      </c>
      <c r="J410" s="284">
        <f t="shared" si="195"/>
        <v>0.0798458476829893</v>
      </c>
      <c r="K410" s="19">
        <f t="shared" si="197"/>
        <v>29600</v>
      </c>
      <c r="L410" s="269">
        <f t="shared" si="190"/>
        <v>2.47999999999997</v>
      </c>
      <c r="M410" s="226">
        <f ca="1" t="shared" si="191"/>
        <v>74.9759999999999</v>
      </c>
      <c r="N410" s="280">
        <f ca="1" t="shared" si="196"/>
        <v>0.104453272161173</v>
      </c>
      <c r="O410" s="226">
        <f t="shared" si="200"/>
        <v>26.4</v>
      </c>
      <c r="P410" s="19">
        <f ca="1" t="shared" si="165"/>
        <v>19.4</v>
      </c>
      <c r="Q410" s="226">
        <f ca="1" t="shared" si="199"/>
        <v>2.84</v>
      </c>
      <c r="R410" s="269">
        <f ca="1" t="shared" si="172"/>
        <v>0.673163598369926</v>
      </c>
      <c r="S410" s="266">
        <f ca="1" t="shared" si="173"/>
        <v>63.2402766491731</v>
      </c>
      <c r="T410" s="226">
        <f ca="1">(1+OFFSET('玩法产出(新)'!$C$18,MATCH(X410,'玩法产出(新)'!$B$19:$B$25,0),1)*(1-V410)+OFFSET('玩法产出(新)'!$C$18,1+MATCH(X410,'玩法产出(新)'!$B$19:$B$25,0),1)*(V410))^AA410*(1+OFFSET('玩法产出(新)'!$C$18,MATCH(X410,'玩法产出(新)'!$B$19:$B$25,0),3)*(1-V410)+OFFSET('玩法产出(新)'!$C$18,1+MATCH(X410,'玩法产出(新)'!$B$19:$B$25,0),3)*(V410))^AB410*(1+OFFSET('玩法产出(新)'!$C$18,MATCH(X410,'玩法产出(新)'!$B$19:$B$25,0),4)*(1-V410)+OFFSET('玩法产出(新)'!$C$18,1+MATCH(X410,'玩法产出(新)'!$B$19:$B$25,0),4)*(V410))^AC410*(1+OFFSET('玩法产出(新)'!$C$18,MATCH(X410,'玩法产出(新)'!$B$19:$B$25,0),5)*(1+V410)+OFFSET('玩法产出(新)'!$C$18,1+MATCH(X410,'玩法产出(新)'!$B$19:$B$25,5),1)*(V410))^AD410*(1+OFFSET('玩法产出(新)'!$C$18,MATCH(X410,'玩法产出(新)'!$B$19:$B$25,0),6)*(1+V410)+OFFSET('玩法产出(新)'!$C$18,1+MATCH(X410,'玩法产出(新)'!$B$19:$B$25,0),6)*(V410))^AE410</f>
        <v>72.1503147170619</v>
      </c>
      <c r="U410" s="226">
        <f ca="1" t="shared" si="192"/>
        <v>0.121873548761414</v>
      </c>
      <c r="V410" s="226">
        <f ca="1">COUNTIF($X$124:$X410,X410)/(COUNTIF($X$124:$X$723,X410)+1)</f>
        <v>0.352577319587629</v>
      </c>
      <c r="W410" s="19">
        <v>30</v>
      </c>
      <c r="X410" s="19" t="s">
        <v>326</v>
      </c>
      <c r="Y410" s="19">
        <f t="shared" si="198"/>
        <v>29860</v>
      </c>
      <c r="Z410" s="19">
        <f ca="1" t="shared" si="174"/>
        <v>0.692022252835052</v>
      </c>
      <c r="AA410" s="282">
        <f ca="1" t="shared" si="175"/>
        <v>3.974784375</v>
      </c>
      <c r="AB410" s="282">
        <f ca="1" t="shared" si="176"/>
        <v>18</v>
      </c>
      <c r="AC410" s="282">
        <f ca="1" t="shared" si="177"/>
        <v>6.11445</v>
      </c>
      <c r="AD410" s="282">
        <f ca="1" t="shared" si="178"/>
        <v>1.5286125</v>
      </c>
      <c r="AE410" s="282">
        <f ca="1" t="shared" si="179"/>
        <v>0.382153125</v>
      </c>
      <c r="AF410" s="19" t="str">
        <f t="shared" si="180"/>
        <v>彩1</v>
      </c>
      <c r="AG410" s="19">
        <f>IFERROR(_xlfn.XLOOKUP(C410+1,[2]基因升级!$E$141:$E$500,[2]基因升级!$D$141:$D$500)-1,AG409)</f>
        <v>98</v>
      </c>
      <c r="AH410" s="19">
        <v>7</v>
      </c>
      <c r="AI410" s="19">
        <f t="shared" si="181"/>
        <v>9.2039189417803</v>
      </c>
      <c r="AJ410" s="19">
        <f t="shared" si="193"/>
        <v>0</v>
      </c>
      <c r="AK410" s="269">
        <v>1.864</v>
      </c>
      <c r="AL410" s="287">
        <f t="shared" si="201"/>
        <v>13.1199999999999</v>
      </c>
      <c r="AM410" s="287">
        <f t="shared" si="202"/>
        <v>9.51999999999997</v>
      </c>
      <c r="AN410" s="287">
        <f t="shared" si="164"/>
        <v>5.92</v>
      </c>
      <c r="AO410" s="293"/>
      <c r="AQ410" s="19">
        <f t="shared" si="182"/>
        <v>2.42949026528662</v>
      </c>
      <c r="AR410" s="19">
        <f t="shared" si="183"/>
        <v>1.90429209048368</v>
      </c>
      <c r="AS410" s="19">
        <f t="shared" si="184"/>
        <v>1.49262930487638</v>
      </c>
      <c r="AT410" s="19">
        <f t="shared" si="185"/>
        <v>1</v>
      </c>
      <c r="AU410" s="19">
        <f t="shared" si="186"/>
        <v>1</v>
      </c>
      <c r="AV410" s="232">
        <f t="shared" si="166"/>
        <v>0.0399999999999991</v>
      </c>
      <c r="AW410" s="232">
        <f t="shared" si="167"/>
        <v>0.0399999999999991</v>
      </c>
      <c r="AX410" s="232">
        <f t="shared" si="168"/>
        <v>0.04</v>
      </c>
      <c r="AY410" s="232">
        <f t="shared" si="169"/>
        <v>0</v>
      </c>
      <c r="AZ410" s="232">
        <f t="shared" si="170"/>
        <v>0</v>
      </c>
    </row>
    <row r="411" spans="1:52">
      <c r="A411" s="269"/>
      <c r="C411" s="19">
        <v>288</v>
      </c>
      <c r="D411" s="86">
        <f ca="1" t="shared" si="194"/>
        <v>206.101153517825</v>
      </c>
      <c r="E411" s="251">
        <f ca="1" t="shared" si="171"/>
        <v>0.30535442355266</v>
      </c>
      <c r="F411" s="269">
        <f ca="1" t="shared" si="187"/>
        <v>457.028281444652</v>
      </c>
      <c r="G411" s="283">
        <f ca="1" t="shared" si="188"/>
        <v>139.555607427795</v>
      </c>
      <c r="H411" s="279">
        <f ca="1" t="shared" si="189"/>
        <v>0.183337338075688</v>
      </c>
      <c r="I411" s="269">
        <f ca="1">SUM($J$125:J411)/SUM($H$125:H411)</f>
        <v>0.543428672189052</v>
      </c>
      <c r="J411" s="284">
        <f t="shared" si="195"/>
        <v>0.0796170773707701</v>
      </c>
      <c r="K411" s="19">
        <f t="shared" si="197"/>
        <v>29700</v>
      </c>
      <c r="L411" s="269">
        <f t="shared" si="190"/>
        <v>2.48499999999997</v>
      </c>
      <c r="M411" s="226">
        <f ca="1" t="shared" si="191"/>
        <v>75.5039999999999</v>
      </c>
      <c r="N411" s="280">
        <f ca="1" t="shared" si="196"/>
        <v>0.103720260704925</v>
      </c>
      <c r="O411" s="226">
        <f t="shared" si="200"/>
        <v>26.4</v>
      </c>
      <c r="P411" s="19">
        <f ca="1" t="shared" si="165"/>
        <v>19.6</v>
      </c>
      <c r="Q411" s="226">
        <f ca="1" t="shared" si="199"/>
        <v>2.86</v>
      </c>
      <c r="R411" s="269">
        <f ca="1" t="shared" si="172"/>
        <v>0.674462414008857</v>
      </c>
      <c r="S411" s="266">
        <f ca="1" t="shared" si="173"/>
        <v>63.3622937346501</v>
      </c>
      <c r="T411" s="226">
        <f ca="1">(1+OFFSET('玩法产出(新)'!$C$18,MATCH(X411,'玩法产出(新)'!$B$19:$B$25,0),1)*(1-V411)+OFFSET('玩法产出(新)'!$C$18,1+MATCH(X411,'玩法产出(新)'!$B$19:$B$25,0),1)*(V411))^AA411*(1+OFFSET('玩法产出(新)'!$C$18,MATCH(X411,'玩法产出(新)'!$B$19:$B$25,0),3)*(1-V411)+OFFSET('玩法产出(新)'!$C$18,1+MATCH(X411,'玩法产出(新)'!$B$19:$B$25,0),3)*(V411))^AB411*(1+OFFSET('玩法产出(新)'!$C$18,MATCH(X411,'玩法产出(新)'!$B$19:$B$25,0),4)*(1-V411)+OFFSET('玩法产出(新)'!$C$18,1+MATCH(X411,'玩法产出(新)'!$B$19:$B$25,0),4)*(V411))^AC411*(1+OFFSET('玩法产出(新)'!$C$18,MATCH(X411,'玩法产出(新)'!$B$19:$B$25,0),5)*(1+V411)+OFFSET('玩法产出(新)'!$C$18,1+MATCH(X411,'玩法产出(新)'!$B$19:$B$25,5),1)*(V411))^AD411*(1+OFFSET('玩法产出(新)'!$C$18,MATCH(X411,'玩法产出(新)'!$B$19:$B$25,0),6)*(1+V411)+OFFSET('玩法产出(新)'!$C$18,1+MATCH(X411,'玩法产出(新)'!$B$19:$B$25,0),6)*(V411))^AE411</f>
        <v>72.7484178673504</v>
      </c>
      <c r="U411" s="226">
        <f ca="1" t="shared" si="192"/>
        <v>0.122017085476965</v>
      </c>
      <c r="V411" s="226">
        <f ca="1">COUNTIF($X$124:$X411,X411)/(COUNTIF($X$124:$X$723,X411)+1)</f>
        <v>0.354639175257732</v>
      </c>
      <c r="W411" s="19">
        <v>30</v>
      </c>
      <c r="X411" s="19" t="s">
        <v>326</v>
      </c>
      <c r="Y411" s="19">
        <f t="shared" si="198"/>
        <v>29960</v>
      </c>
      <c r="Z411" s="19">
        <f ca="1" t="shared" si="174"/>
        <v>0.687583373195876</v>
      </c>
      <c r="AA411" s="282">
        <f ca="1" t="shared" si="175"/>
        <v>3.94741875</v>
      </c>
      <c r="AB411" s="282">
        <f ca="1" t="shared" si="176"/>
        <v>18</v>
      </c>
      <c r="AC411" s="282">
        <f ca="1" t="shared" si="177"/>
        <v>6.1353</v>
      </c>
      <c r="AD411" s="282">
        <f ca="1" t="shared" si="178"/>
        <v>1.533825</v>
      </c>
      <c r="AE411" s="282">
        <f ca="1" t="shared" si="179"/>
        <v>0.38345625</v>
      </c>
      <c r="AF411" s="19" t="str">
        <f t="shared" si="180"/>
        <v>彩1</v>
      </c>
      <c r="AG411" s="19">
        <f>IFERROR(_xlfn.XLOOKUP(C411+1,[2]基因升级!$E$141:$E$500,[2]基因升级!$D$141:$D$500)-1,AG410)</f>
        <v>99</v>
      </c>
      <c r="AH411" s="19">
        <v>7</v>
      </c>
      <c r="AI411" s="19">
        <f t="shared" si="181"/>
        <v>9.2039189417803</v>
      </c>
      <c r="AJ411" s="19">
        <f t="shared" si="193"/>
        <v>0</v>
      </c>
      <c r="AK411" s="269">
        <v>1.864</v>
      </c>
      <c r="AL411" s="287">
        <f t="shared" si="201"/>
        <v>13.1599999999999</v>
      </c>
      <c r="AM411" s="287">
        <f t="shared" si="202"/>
        <v>9.55999999999997</v>
      </c>
      <c r="AN411" s="287">
        <f t="shared" si="164"/>
        <v>5.96</v>
      </c>
      <c r="AO411" s="293"/>
      <c r="AQ411" s="19">
        <f t="shared" si="182"/>
        <v>2.43607421159942</v>
      </c>
      <c r="AR411" s="19">
        <f t="shared" si="183"/>
        <v>1.909452743756</v>
      </c>
      <c r="AS411" s="19">
        <f t="shared" si="184"/>
        <v>1.49667434730714</v>
      </c>
      <c r="AT411" s="19">
        <f t="shared" si="185"/>
        <v>1</v>
      </c>
      <c r="AU411" s="19">
        <f t="shared" si="186"/>
        <v>1</v>
      </c>
      <c r="AV411" s="232">
        <f t="shared" si="166"/>
        <v>0.0399999999999991</v>
      </c>
      <c r="AW411" s="232">
        <f t="shared" si="167"/>
        <v>0.0399999999999991</v>
      </c>
      <c r="AX411" s="232">
        <f t="shared" si="168"/>
        <v>0.04</v>
      </c>
      <c r="AY411" s="232">
        <f t="shared" si="169"/>
        <v>0</v>
      </c>
      <c r="AZ411" s="232">
        <f t="shared" si="170"/>
        <v>0</v>
      </c>
    </row>
    <row r="412" spans="1:52">
      <c r="A412" s="269"/>
      <c r="C412" s="19">
        <v>289</v>
      </c>
      <c r="D412" s="86">
        <f ca="1" t="shared" si="194"/>
        <v>206.405701201982</v>
      </c>
      <c r="E412" s="251">
        <f ca="1" t="shared" si="171"/>
        <v>0.304547684156919</v>
      </c>
      <c r="F412" s="269">
        <f ca="1" t="shared" si="187"/>
        <v>458.837817016541</v>
      </c>
      <c r="G412" s="283">
        <f ca="1" t="shared" si="188"/>
        <v>139.737994576004</v>
      </c>
      <c r="H412" s="279">
        <f ca="1" t="shared" si="189"/>
        <v>0.182387148209102</v>
      </c>
      <c r="I412" s="269">
        <f ca="1">SUM($J$125:J412)/SUM($H$125:H412)</f>
        <v>0.543276637134155</v>
      </c>
      <c r="J412" s="284">
        <f t="shared" si="195"/>
        <v>0.0793896826479994</v>
      </c>
      <c r="K412" s="19">
        <f t="shared" si="197"/>
        <v>29800</v>
      </c>
      <c r="L412" s="269">
        <f t="shared" si="190"/>
        <v>2.48999999999997</v>
      </c>
      <c r="M412" s="226">
        <f ca="1" t="shared" si="191"/>
        <v>76.0319999999999</v>
      </c>
      <c r="N412" s="280">
        <f ca="1" t="shared" si="196"/>
        <v>0.102997465561117</v>
      </c>
      <c r="O412" s="226">
        <f t="shared" si="200"/>
        <v>26.4</v>
      </c>
      <c r="P412" s="19">
        <f ca="1" t="shared" si="165"/>
        <v>19.8</v>
      </c>
      <c r="Q412" s="226">
        <f ca="1" t="shared" si="199"/>
        <v>2.88</v>
      </c>
      <c r="R412" s="269">
        <f ca="1" t="shared" si="172"/>
        <v>0.675762756611936</v>
      </c>
      <c r="S412" s="266">
        <f ca="1" t="shared" si="173"/>
        <v>63.4844542705979</v>
      </c>
      <c r="T412" s="226">
        <f ca="1">(1+OFFSET('玩法产出(新)'!$C$18,MATCH(X412,'玩法产出(新)'!$B$19:$B$25,0),1)*(1-V412)+OFFSET('玩法产出(新)'!$C$18,1+MATCH(X412,'玩法产出(新)'!$B$19:$B$25,0),1)*(V412))^AA412*(1+OFFSET('玩法产出(新)'!$C$18,MATCH(X412,'玩法产出(新)'!$B$19:$B$25,0),3)*(1-V412)+OFFSET('玩法产出(新)'!$C$18,1+MATCH(X412,'玩法产出(新)'!$B$19:$B$25,0),3)*(V412))^AB412*(1+OFFSET('玩法产出(新)'!$C$18,MATCH(X412,'玩法产出(新)'!$B$19:$B$25,0),4)*(1-V412)+OFFSET('玩法产出(新)'!$C$18,1+MATCH(X412,'玩法产出(新)'!$B$19:$B$25,0),4)*(V412))^AC412*(1+OFFSET('玩法产出(新)'!$C$18,MATCH(X412,'玩法产出(新)'!$B$19:$B$25,0),5)*(1+V412)+OFFSET('玩法产出(新)'!$C$18,1+MATCH(X412,'玩法产出(新)'!$B$19:$B$25,5),1)*(V412))^AD412*(1+OFFSET('玩法产出(新)'!$C$18,MATCH(X412,'玩法产出(新)'!$B$19:$B$25,0),6)*(1+V412)+OFFSET('玩法产出(新)'!$C$18,1+MATCH(X412,'玩法产出(新)'!$B$19:$B$25,0),6)*(V412))^AE412</f>
        <v>73.3521910307712</v>
      </c>
      <c r="U412" s="226">
        <f ca="1" t="shared" si="192"/>
        <v>0.122160535947803</v>
      </c>
      <c r="V412" s="226">
        <f ca="1">COUNTIF($X$124:$X412,X412)/(COUNTIF($X$124:$X$723,X412)+1)</f>
        <v>0.356701030927835</v>
      </c>
      <c r="W412" s="19">
        <v>30</v>
      </c>
      <c r="X412" s="19" t="s">
        <v>326</v>
      </c>
      <c r="Y412" s="19">
        <f t="shared" si="198"/>
        <v>30060</v>
      </c>
      <c r="Z412" s="19">
        <f ca="1" t="shared" si="174"/>
        <v>0.683139979639175</v>
      </c>
      <c r="AA412" s="282">
        <f ca="1" t="shared" si="175"/>
        <v>3.920053125</v>
      </c>
      <c r="AB412" s="282">
        <f ca="1" t="shared" si="176"/>
        <v>18</v>
      </c>
      <c r="AC412" s="282">
        <f ca="1" t="shared" si="177"/>
        <v>6.15615</v>
      </c>
      <c r="AD412" s="282">
        <f ca="1" t="shared" si="178"/>
        <v>1.5390375</v>
      </c>
      <c r="AE412" s="282">
        <f ca="1" t="shared" si="179"/>
        <v>0.384759375</v>
      </c>
      <c r="AF412" s="19" t="str">
        <f t="shared" si="180"/>
        <v>彩1</v>
      </c>
      <c r="AG412" s="19">
        <f>IFERROR(_xlfn.XLOOKUP(C412+1,[2]基因升级!$E$141:$E$500,[2]基因升级!$D$141:$D$500)-1,AG411)</f>
        <v>99</v>
      </c>
      <c r="AH412" s="19">
        <v>7</v>
      </c>
      <c r="AI412" s="19">
        <f t="shared" si="181"/>
        <v>9.2039189417803</v>
      </c>
      <c r="AJ412" s="19">
        <f t="shared" si="193"/>
        <v>0</v>
      </c>
      <c r="AK412" s="269">
        <v>1.864</v>
      </c>
      <c r="AL412" s="287">
        <f t="shared" si="201"/>
        <v>13.1999999999999</v>
      </c>
      <c r="AM412" s="287">
        <f t="shared" si="202"/>
        <v>9.59999999999997</v>
      </c>
      <c r="AN412" s="287">
        <f t="shared" si="164"/>
        <v>6</v>
      </c>
      <c r="AO412" s="293"/>
      <c r="AQ412" s="19">
        <f t="shared" si="182"/>
        <v>2.44267600048177</v>
      </c>
      <c r="AR412" s="19">
        <f t="shared" si="183"/>
        <v>1.91462738245752</v>
      </c>
      <c r="AS412" s="19">
        <f t="shared" si="184"/>
        <v>1.500730351849</v>
      </c>
      <c r="AT412" s="19">
        <f t="shared" si="185"/>
        <v>1</v>
      </c>
      <c r="AU412" s="19">
        <f t="shared" si="186"/>
        <v>1</v>
      </c>
      <c r="AV412" s="232">
        <f t="shared" si="166"/>
        <v>0.0399999999999991</v>
      </c>
      <c r="AW412" s="232">
        <f t="shared" si="167"/>
        <v>0.0399999999999991</v>
      </c>
      <c r="AX412" s="232">
        <f t="shared" si="168"/>
        <v>0.04</v>
      </c>
      <c r="AY412" s="232">
        <f t="shared" si="169"/>
        <v>0</v>
      </c>
      <c r="AZ412" s="232">
        <f t="shared" si="170"/>
        <v>0</v>
      </c>
    </row>
    <row r="413" spans="1:52">
      <c r="A413" s="269"/>
      <c r="C413" s="19">
        <v>290</v>
      </c>
      <c r="D413" s="86">
        <f ca="1" t="shared" si="194"/>
        <v>206.709453427556</v>
      </c>
      <c r="E413" s="251">
        <f ca="1" t="shared" si="171"/>
        <v>0.303752225573838</v>
      </c>
      <c r="F413" s="269">
        <f ca="1" t="shared" si="187"/>
        <v>460.636766156888</v>
      </c>
      <c r="G413" s="283">
        <f ca="1" t="shared" si="188"/>
        <v>139.91944290129</v>
      </c>
      <c r="H413" s="279">
        <f ca="1" t="shared" si="189"/>
        <v>0.18144832528651</v>
      </c>
      <c r="I413" s="269">
        <f ca="1">SUM($J$125:J413)/SUM($H$125:H413)</f>
        <v>0.543127213884807</v>
      </c>
      <c r="J413" s="284">
        <f t="shared" si="195"/>
        <v>0.0791636506635314</v>
      </c>
      <c r="K413" s="19">
        <f t="shared" si="197"/>
        <v>29900</v>
      </c>
      <c r="L413" s="269">
        <f t="shared" si="190"/>
        <v>2.49499999999997</v>
      </c>
      <c r="M413" s="226">
        <f ca="1" t="shared" si="191"/>
        <v>76.5599999999999</v>
      </c>
      <c r="N413" s="280">
        <f ca="1" t="shared" si="196"/>
        <v>0.102284674622965</v>
      </c>
      <c r="O413" s="226">
        <f t="shared" si="200"/>
        <v>26.4</v>
      </c>
      <c r="P413" s="19">
        <f ca="1" t="shared" si="165"/>
        <v>20</v>
      </c>
      <c r="Q413" s="226">
        <f ca="1" t="shared" si="199"/>
        <v>2.9</v>
      </c>
      <c r="R413" s="269">
        <f ca="1" t="shared" si="172"/>
        <v>0.677064625262335</v>
      </c>
      <c r="S413" s="266">
        <f ca="1" t="shared" si="173"/>
        <v>63.6067581708852</v>
      </c>
      <c r="T413" s="226">
        <f ca="1">(1+OFFSET('玩法产出(新)'!$C$18,MATCH(X413,'玩法产出(新)'!$B$19:$B$25,0),1)*(1-V413)+OFFSET('玩法产出(新)'!$C$18,1+MATCH(X413,'玩法产出(新)'!$B$19:$B$25,0),1)*(V413))^AA413*(1+OFFSET('玩法产出(新)'!$C$18,MATCH(X413,'玩法产出(新)'!$B$19:$B$25,0),3)*(1-V413)+OFFSET('玩法产出(新)'!$C$18,1+MATCH(X413,'玩法产出(新)'!$B$19:$B$25,0),3)*(V413))^AB413*(1+OFFSET('玩法产出(新)'!$C$18,MATCH(X413,'玩法产出(新)'!$B$19:$B$25,0),4)*(1-V413)+OFFSET('玩法产出(新)'!$C$18,1+MATCH(X413,'玩法产出(新)'!$B$19:$B$25,0),4)*(V413))^AC413*(1+OFFSET('玩法产出(新)'!$C$18,MATCH(X413,'玩法产出(新)'!$B$19:$B$25,0),5)*(1+V413)+OFFSET('玩法产出(新)'!$C$18,1+MATCH(X413,'玩法产出(新)'!$B$19:$B$25,5),1)*(V413))^AD413*(1+OFFSET('玩法产出(新)'!$C$18,MATCH(X413,'玩法产出(新)'!$B$19:$B$25,0),6)*(1+V413)+OFFSET('玩法产出(新)'!$C$18,1+MATCH(X413,'玩法产出(新)'!$B$19:$B$25,0),6)*(V413))^AE413</f>
        <v>73.961692603135</v>
      </c>
      <c r="U413" s="226">
        <f ca="1" t="shared" si="192"/>
        <v>0.122303900287342</v>
      </c>
      <c r="V413" s="226">
        <f ca="1">COUNTIF($X$124:$X413,X413)/(COUNTIF($X$124:$X$723,X413)+1)</f>
        <v>0.358762886597938</v>
      </c>
      <c r="W413" s="19">
        <v>30</v>
      </c>
      <c r="X413" s="19" t="s">
        <v>326</v>
      </c>
      <c r="Y413" s="19">
        <f t="shared" si="198"/>
        <v>30160</v>
      </c>
      <c r="Z413" s="19">
        <f ca="1" t="shared" si="174"/>
        <v>0.678692072164949</v>
      </c>
      <c r="AA413" s="282">
        <f ca="1" t="shared" si="175"/>
        <v>3.8926875</v>
      </c>
      <c r="AB413" s="282">
        <f ca="1" t="shared" si="176"/>
        <v>18</v>
      </c>
      <c r="AC413" s="282">
        <f ca="1" t="shared" si="177"/>
        <v>6.177</v>
      </c>
      <c r="AD413" s="282">
        <f ca="1" t="shared" si="178"/>
        <v>1.54425</v>
      </c>
      <c r="AE413" s="282">
        <f ca="1" t="shared" si="179"/>
        <v>0.3860625</v>
      </c>
      <c r="AF413" s="19" t="str">
        <f t="shared" si="180"/>
        <v>彩1</v>
      </c>
      <c r="AG413" s="19">
        <f>IFERROR(_xlfn.XLOOKUP(C413+1,[2]基因升级!$E$141:$E$500,[2]基因升级!$D$141:$D$500)-1,AG412)</f>
        <v>99</v>
      </c>
      <c r="AH413" s="19">
        <v>7</v>
      </c>
      <c r="AI413" s="19">
        <f t="shared" si="181"/>
        <v>9.2039189417803</v>
      </c>
      <c r="AJ413" s="19">
        <f t="shared" si="193"/>
        <v>0</v>
      </c>
      <c r="AK413" s="269">
        <v>1.864</v>
      </c>
      <c r="AL413" s="287">
        <f t="shared" si="201"/>
        <v>13.2399999999999</v>
      </c>
      <c r="AM413" s="287">
        <f t="shared" si="202"/>
        <v>9.63999999999997</v>
      </c>
      <c r="AN413" s="287">
        <f t="shared" si="164"/>
        <v>6.04</v>
      </c>
      <c r="AO413" s="293"/>
      <c r="AQ413" s="19">
        <f t="shared" si="182"/>
        <v>2.44929568028725</v>
      </c>
      <c r="AR413" s="19">
        <f t="shared" si="183"/>
        <v>1.9198160444889</v>
      </c>
      <c r="AS413" s="19">
        <f t="shared" si="184"/>
        <v>1.5047973482094</v>
      </c>
      <c r="AT413" s="19">
        <f t="shared" si="185"/>
        <v>1</v>
      </c>
      <c r="AU413" s="19">
        <f t="shared" si="186"/>
        <v>1</v>
      </c>
      <c r="AV413" s="232">
        <f t="shared" si="166"/>
        <v>0.0399999999999991</v>
      </c>
      <c r="AW413" s="232">
        <f t="shared" si="167"/>
        <v>0.0399999999999991</v>
      </c>
      <c r="AX413" s="232">
        <f t="shared" si="168"/>
        <v>0.04</v>
      </c>
      <c r="AY413" s="232">
        <f t="shared" si="169"/>
        <v>0</v>
      </c>
      <c r="AZ413" s="232">
        <f t="shared" si="170"/>
        <v>0</v>
      </c>
    </row>
    <row r="414" spans="1:52">
      <c r="A414" s="269"/>
      <c r="C414" s="19">
        <v>291</v>
      </c>
      <c r="D414" s="86">
        <f ca="1" t="shared" si="194"/>
        <v>207.01242125651</v>
      </c>
      <c r="E414" s="251">
        <f ca="1" t="shared" si="171"/>
        <v>0.302967828953732</v>
      </c>
      <c r="F414" s="269">
        <f ca="1" t="shared" si="187"/>
        <v>462.425215361828</v>
      </c>
      <c r="G414" s="283">
        <f ca="1" t="shared" si="188"/>
        <v>140.099963551635</v>
      </c>
      <c r="H414" s="279">
        <f ca="1" t="shared" si="189"/>
        <v>0.180520650344874</v>
      </c>
      <c r="I414" s="269">
        <f ca="1">SUM($J$125:J414)/SUM($H$125:H414)</f>
        <v>0.542980352128517</v>
      </c>
      <c r="J414" s="284">
        <f t="shared" si="195"/>
        <v>0.078938968729986</v>
      </c>
      <c r="K414" s="19">
        <f t="shared" si="197"/>
        <v>30000</v>
      </c>
      <c r="L414" s="269">
        <f t="shared" si="190"/>
        <v>2.49999999999997</v>
      </c>
      <c r="M414" s="226">
        <f ca="1" t="shared" si="191"/>
        <v>77.0879999999999</v>
      </c>
      <c r="N414" s="280">
        <f ca="1" t="shared" si="196"/>
        <v>0.101581681614903</v>
      </c>
      <c r="O414" s="226">
        <f t="shared" si="200"/>
        <v>26.4</v>
      </c>
      <c r="P414" s="19">
        <f ca="1" t="shared" si="165"/>
        <v>20.2</v>
      </c>
      <c r="Q414" s="226">
        <f ca="1" t="shared" si="199"/>
        <v>2.92</v>
      </c>
      <c r="R414" s="269">
        <f ca="1" t="shared" si="172"/>
        <v>0.678368019044431</v>
      </c>
      <c r="S414" s="266">
        <f ca="1" t="shared" si="173"/>
        <v>63.7292053494941</v>
      </c>
      <c r="T414" s="226">
        <f ca="1">(1+OFFSET('玩法产出(新)'!$C$18,MATCH(X414,'玩法产出(新)'!$B$19:$B$25,0),1)*(1-V414)+OFFSET('玩法产出(新)'!$C$18,1+MATCH(X414,'玩法产出(新)'!$B$19:$B$25,0),1)*(V414))^AA414*(1+OFFSET('玩法产出(新)'!$C$18,MATCH(X414,'玩法产出(新)'!$B$19:$B$25,0),3)*(1-V414)+OFFSET('玩法产出(新)'!$C$18,1+MATCH(X414,'玩法产出(新)'!$B$19:$B$25,0),3)*(V414))^AB414*(1+OFFSET('玩法产出(新)'!$C$18,MATCH(X414,'玩法产出(新)'!$B$19:$B$25,0),4)*(1-V414)+OFFSET('玩法产出(新)'!$C$18,1+MATCH(X414,'玩法产出(新)'!$B$19:$B$25,0),4)*(V414))^AC414*(1+OFFSET('玩法产出(新)'!$C$18,MATCH(X414,'玩法产出(新)'!$B$19:$B$25,0),5)*(1+V414)+OFFSET('玩法产出(新)'!$C$18,1+MATCH(X414,'玩法产出(新)'!$B$19:$B$25,5),1)*(V414))^AD414*(1+OFFSET('玩法产出(新)'!$C$18,MATCH(X414,'玩法产出(新)'!$B$19:$B$25,0),6)*(1+V414)+OFFSET('玩法产出(新)'!$C$18,1+MATCH(X414,'玩法产出(新)'!$B$19:$B$25,0),6)*(V414))^AE414</f>
        <v>74.5769816225013</v>
      </c>
      <c r="U414" s="226">
        <f ca="1" t="shared" si="192"/>
        <v>0.122447178608844</v>
      </c>
      <c r="V414" s="226">
        <f ca="1">COUNTIF($X$124:$X414,X414)/(COUNTIF($X$124:$X$723,X414)+1)</f>
        <v>0.360824742268041</v>
      </c>
      <c r="W414" s="19">
        <v>30</v>
      </c>
      <c r="X414" s="19" t="s">
        <v>326</v>
      </c>
      <c r="Y414" s="19">
        <f t="shared" si="198"/>
        <v>30260</v>
      </c>
      <c r="Z414" s="19">
        <f ca="1" t="shared" si="174"/>
        <v>0.674239650773196</v>
      </c>
      <c r="AA414" s="282">
        <f ca="1" t="shared" si="175"/>
        <v>3.865321875</v>
      </c>
      <c r="AB414" s="282">
        <f ca="1" t="shared" si="176"/>
        <v>18</v>
      </c>
      <c r="AC414" s="282">
        <f ca="1" t="shared" si="177"/>
        <v>6.19785</v>
      </c>
      <c r="AD414" s="282">
        <f ca="1" t="shared" si="178"/>
        <v>1.5494625</v>
      </c>
      <c r="AE414" s="282">
        <f ca="1" t="shared" si="179"/>
        <v>0.387365625</v>
      </c>
      <c r="AF414" s="19" t="str">
        <f t="shared" si="180"/>
        <v>彩1</v>
      </c>
      <c r="AG414" s="19">
        <f>IFERROR(_xlfn.XLOOKUP(C414+1,[2]基因升级!$E$141:$E$500,[2]基因升级!$D$141:$D$500)-1,AG413)</f>
        <v>99</v>
      </c>
      <c r="AH414" s="19">
        <v>7</v>
      </c>
      <c r="AI414" s="19">
        <f t="shared" si="181"/>
        <v>9.2039189417803</v>
      </c>
      <c r="AJ414" s="19">
        <f t="shared" si="193"/>
        <v>0</v>
      </c>
      <c r="AK414" s="269">
        <v>1.864</v>
      </c>
      <c r="AL414" s="287">
        <f t="shared" si="201"/>
        <v>13.2799999999999</v>
      </c>
      <c r="AM414" s="287">
        <f t="shared" si="202"/>
        <v>9.67999999999996</v>
      </c>
      <c r="AN414" s="287">
        <f t="shared" si="164"/>
        <v>6.08</v>
      </c>
      <c r="AO414" s="293"/>
      <c r="AQ414" s="19">
        <f t="shared" si="182"/>
        <v>2.45593329950046</v>
      </c>
      <c r="AR414" s="19">
        <f t="shared" si="183"/>
        <v>1.92501876785354</v>
      </c>
      <c r="AS414" s="19">
        <f t="shared" si="184"/>
        <v>1.5088753661763</v>
      </c>
      <c r="AT414" s="19">
        <f t="shared" si="185"/>
        <v>1</v>
      </c>
      <c r="AU414" s="19">
        <f t="shared" si="186"/>
        <v>1</v>
      </c>
      <c r="AV414" s="232">
        <f t="shared" si="166"/>
        <v>0.0399999999999991</v>
      </c>
      <c r="AW414" s="232">
        <f t="shared" si="167"/>
        <v>0.0399999999999991</v>
      </c>
      <c r="AX414" s="232">
        <f t="shared" si="168"/>
        <v>0.04</v>
      </c>
      <c r="AY414" s="232">
        <f t="shared" si="169"/>
        <v>0</v>
      </c>
      <c r="AZ414" s="232">
        <f t="shared" si="170"/>
        <v>0</v>
      </c>
    </row>
    <row r="415" spans="1:52">
      <c r="A415" s="269"/>
      <c r="C415" s="19">
        <v>292</v>
      </c>
      <c r="D415" s="86">
        <f ca="1" t="shared" si="194"/>
        <v>207.31461553775</v>
      </c>
      <c r="E415" s="251">
        <f ca="1" t="shared" si="171"/>
        <v>0.302194281240137</v>
      </c>
      <c r="F415" s="269">
        <f ca="1" t="shared" si="187"/>
        <v>464.203249929729</v>
      </c>
      <c r="G415" s="283">
        <f ca="1" t="shared" si="188"/>
        <v>140.27956746185</v>
      </c>
      <c r="H415" s="279">
        <f ca="1" t="shared" si="189"/>
        <v>0.179603910214837</v>
      </c>
      <c r="I415" s="269">
        <f ca="1">SUM($J$125:J415)/SUM($H$125:H415)</f>
        <v>0.542836002784585</v>
      </c>
      <c r="J415" s="284">
        <f t="shared" si="195"/>
        <v>0.0787156243212337</v>
      </c>
      <c r="K415" s="19">
        <f t="shared" si="197"/>
        <v>30100</v>
      </c>
      <c r="L415" s="269">
        <f t="shared" si="190"/>
        <v>2.50499999999997</v>
      </c>
      <c r="M415" s="226">
        <f ca="1" t="shared" si="191"/>
        <v>77.6159999999999</v>
      </c>
      <c r="N415" s="280">
        <f ca="1" t="shared" si="196"/>
        <v>0.100888285893582</v>
      </c>
      <c r="O415" s="226">
        <f t="shared" si="200"/>
        <v>26.4</v>
      </c>
      <c r="P415" s="19">
        <f ca="1" t="shared" si="165"/>
        <v>20.4</v>
      </c>
      <c r="Q415" s="226">
        <f ca="1" t="shared" si="199"/>
        <v>2.94</v>
      </c>
      <c r="R415" s="269">
        <f ca="1" t="shared" si="172"/>
        <v>0.679672937043805</v>
      </c>
      <c r="S415" s="266">
        <f ca="1" t="shared" si="173"/>
        <v>63.8517957205194</v>
      </c>
      <c r="T415" s="226">
        <f ca="1">(1+OFFSET('玩法产出(新)'!$C$18,MATCH(X415,'玩法产出(新)'!$B$19:$B$25,0),1)*(1-V415)+OFFSET('玩法产出(新)'!$C$18,1+MATCH(X415,'玩法产出(新)'!$B$19:$B$25,0),1)*(V415))^AA415*(1+OFFSET('玩法产出(新)'!$C$18,MATCH(X415,'玩法产出(新)'!$B$19:$B$25,0),3)*(1-V415)+OFFSET('玩法产出(新)'!$C$18,1+MATCH(X415,'玩法产出(新)'!$B$19:$B$25,0),3)*(V415))^AB415*(1+OFFSET('玩法产出(新)'!$C$18,MATCH(X415,'玩法产出(新)'!$B$19:$B$25,0),4)*(1-V415)+OFFSET('玩法产出(新)'!$C$18,1+MATCH(X415,'玩法产出(新)'!$B$19:$B$25,0),4)*(V415))^AC415*(1+OFFSET('玩法产出(新)'!$C$18,MATCH(X415,'玩法产出(新)'!$B$19:$B$25,0),5)*(1+V415)+OFFSET('玩法产出(新)'!$C$18,1+MATCH(X415,'玩法产出(新)'!$B$19:$B$25,5),1)*(V415))^AD415*(1+OFFSET('玩法产出(新)'!$C$18,MATCH(X415,'玩法产出(新)'!$B$19:$B$25,0),6)*(1+V415)+OFFSET('玩法产出(新)'!$C$18,1+MATCH(X415,'玩法产出(新)'!$B$19:$B$25,0),6)*(V415))^AE415</f>
        <v>75.1981177766299</v>
      </c>
      <c r="U415" s="226">
        <f ca="1" t="shared" si="192"/>
        <v>0.122590371025321</v>
      </c>
      <c r="V415" s="226">
        <f ca="1">COUNTIF($X$124:$X415,X415)/(COUNTIF($X$124:$X$723,X415)+1)</f>
        <v>0.362886597938144</v>
      </c>
      <c r="W415" s="19">
        <v>30</v>
      </c>
      <c r="X415" s="19" t="s">
        <v>326</v>
      </c>
      <c r="Y415" s="19">
        <f t="shared" si="198"/>
        <v>30360</v>
      </c>
      <c r="Z415" s="19">
        <f ca="1" t="shared" si="174"/>
        <v>0.669782715463918</v>
      </c>
      <c r="AA415" s="282">
        <f ca="1" t="shared" si="175"/>
        <v>3.83795625</v>
      </c>
      <c r="AB415" s="282">
        <f ca="1" t="shared" si="176"/>
        <v>18</v>
      </c>
      <c r="AC415" s="282">
        <f ca="1" t="shared" si="177"/>
        <v>6.2187</v>
      </c>
      <c r="AD415" s="282">
        <f ca="1" t="shared" si="178"/>
        <v>1.554675</v>
      </c>
      <c r="AE415" s="282">
        <f ca="1" t="shared" si="179"/>
        <v>0.38866875</v>
      </c>
      <c r="AF415" s="19" t="str">
        <f t="shared" si="180"/>
        <v>彩1</v>
      </c>
      <c r="AG415" s="19">
        <f>IFERROR(_xlfn.XLOOKUP(C415+1,[2]基因升级!$E$141:$E$500,[2]基因升级!$D$141:$D$500)-1,AG414)</f>
        <v>99</v>
      </c>
      <c r="AH415" s="19">
        <v>7</v>
      </c>
      <c r="AI415" s="19">
        <f t="shared" si="181"/>
        <v>9.2039189417803</v>
      </c>
      <c r="AJ415" s="19">
        <f t="shared" si="193"/>
        <v>0</v>
      </c>
      <c r="AK415" s="269">
        <v>1.864</v>
      </c>
      <c r="AL415" s="287">
        <f t="shared" si="201"/>
        <v>13.3199999999999</v>
      </c>
      <c r="AM415" s="287">
        <f t="shared" si="202"/>
        <v>9.71999999999996</v>
      </c>
      <c r="AN415" s="287">
        <f t="shared" si="164"/>
        <v>6.12</v>
      </c>
      <c r="AO415" s="293"/>
      <c r="AQ415" s="19">
        <f t="shared" si="182"/>
        <v>2.4625889067374</v>
      </c>
      <c r="AR415" s="19">
        <f t="shared" si="183"/>
        <v>1.93023559065779</v>
      </c>
      <c r="AS415" s="19">
        <f t="shared" si="184"/>
        <v>1.51296443561838</v>
      </c>
      <c r="AT415" s="19">
        <f t="shared" si="185"/>
        <v>1</v>
      </c>
      <c r="AU415" s="19">
        <f t="shared" si="186"/>
        <v>1</v>
      </c>
      <c r="AV415" s="232">
        <f t="shared" si="166"/>
        <v>0.0399999999999991</v>
      </c>
      <c r="AW415" s="232">
        <f t="shared" si="167"/>
        <v>0.0399999999999991</v>
      </c>
      <c r="AX415" s="232">
        <f t="shared" si="168"/>
        <v>0.04</v>
      </c>
      <c r="AY415" s="232">
        <f t="shared" si="169"/>
        <v>0</v>
      </c>
      <c r="AZ415" s="232">
        <f t="shared" si="170"/>
        <v>0</v>
      </c>
    </row>
    <row r="416" spans="1:52">
      <c r="A416" s="269"/>
      <c r="C416" s="19">
        <v>293</v>
      </c>
      <c r="D416" s="86">
        <f ca="1" t="shared" si="194"/>
        <v>207.616046912726</v>
      </c>
      <c r="E416" s="251">
        <f ca="1" t="shared" si="171"/>
        <v>0.301431374976191</v>
      </c>
      <c r="F416" s="269">
        <f ca="1" t="shared" si="187"/>
        <v>465.970953986694</v>
      </c>
      <c r="G416" s="283">
        <f ca="1" t="shared" si="188"/>
        <v>140.458265359177</v>
      </c>
      <c r="H416" s="279">
        <f ca="1" t="shared" si="189"/>
        <v>0.178697897326714</v>
      </c>
      <c r="I416" s="269">
        <f ca="1">SUM($J$125:J416)/SUM($H$125:H416)</f>
        <v>0.542694117966708</v>
      </c>
      <c r="J416" s="284">
        <f t="shared" si="195"/>
        <v>0.0784936050697809</v>
      </c>
      <c r="K416" s="19">
        <f t="shared" si="197"/>
        <v>30200</v>
      </c>
      <c r="L416" s="269">
        <f t="shared" si="190"/>
        <v>2.50999999999997</v>
      </c>
      <c r="M416" s="226">
        <f ca="1" t="shared" si="191"/>
        <v>78.1439999999999</v>
      </c>
      <c r="N416" s="280">
        <f ca="1" t="shared" si="196"/>
        <v>0.100204292256933</v>
      </c>
      <c r="O416" s="226">
        <f t="shared" si="200"/>
        <v>26.4</v>
      </c>
      <c r="P416" s="19">
        <f ca="1" t="shared" si="165"/>
        <v>20.6</v>
      </c>
      <c r="Q416" s="226">
        <f ca="1" t="shared" si="199"/>
        <v>2.96</v>
      </c>
      <c r="R416" s="269">
        <f ca="1" t="shared" si="172"/>
        <v>0.680979378347238</v>
      </c>
      <c r="S416" s="266">
        <f ca="1" t="shared" si="173"/>
        <v>63.9745291981689</v>
      </c>
      <c r="T416" s="226">
        <f ca="1">(1+OFFSET('玩法产出(新)'!$C$18,MATCH(X416,'玩法产出(新)'!$B$19:$B$25,0),1)*(1-V416)+OFFSET('玩法产出(新)'!$C$18,1+MATCH(X416,'玩法产出(新)'!$B$19:$B$25,0),1)*(V416))^AA416*(1+OFFSET('玩法产出(新)'!$C$18,MATCH(X416,'玩法产出(新)'!$B$19:$B$25,0),3)*(1-V416)+OFFSET('玩法产出(新)'!$C$18,1+MATCH(X416,'玩法产出(新)'!$B$19:$B$25,0),3)*(V416))^AB416*(1+OFFSET('玩法产出(新)'!$C$18,MATCH(X416,'玩法产出(新)'!$B$19:$B$25,0),4)*(1-V416)+OFFSET('玩法产出(新)'!$C$18,1+MATCH(X416,'玩法产出(新)'!$B$19:$B$25,0),4)*(V416))^AC416*(1+OFFSET('玩法产出(新)'!$C$18,MATCH(X416,'玩法产出(新)'!$B$19:$B$25,0),5)*(1+V416)+OFFSET('玩法产出(新)'!$C$18,1+MATCH(X416,'玩法产出(新)'!$B$19:$B$25,5),1)*(V416))^AD416*(1+OFFSET('玩法产出(新)'!$C$18,MATCH(X416,'玩法产出(新)'!$B$19:$B$25,0),6)*(1+V416)+OFFSET('玩法产出(新)'!$C$18,1+MATCH(X416,'玩法产出(新)'!$B$19:$B$25,0),6)*(V416))^AE416</f>
        <v>75.8251614105225</v>
      </c>
      <c r="U416" s="226">
        <f ca="1" t="shared" si="192"/>
        <v>0.122733477649477</v>
      </c>
      <c r="V416" s="226">
        <f ca="1">COUNTIF($X$124:$X416,X416)/(COUNTIF($X$124:$X$723,X416)+1)</f>
        <v>0.364948453608247</v>
      </c>
      <c r="W416" s="19">
        <v>30</v>
      </c>
      <c r="X416" s="19" t="s">
        <v>326</v>
      </c>
      <c r="Y416" s="19">
        <f t="shared" si="198"/>
        <v>30460</v>
      </c>
      <c r="Z416" s="19">
        <f ca="1" t="shared" si="174"/>
        <v>0.665321266237113</v>
      </c>
      <c r="AA416" s="282">
        <f ca="1" t="shared" si="175"/>
        <v>3.810590625</v>
      </c>
      <c r="AB416" s="282">
        <f ca="1" t="shared" si="176"/>
        <v>18</v>
      </c>
      <c r="AC416" s="282">
        <f ca="1" t="shared" si="177"/>
        <v>6.23955</v>
      </c>
      <c r="AD416" s="282">
        <f ca="1" t="shared" si="178"/>
        <v>1.5598875</v>
      </c>
      <c r="AE416" s="282">
        <f ca="1" t="shared" si="179"/>
        <v>0.389971875</v>
      </c>
      <c r="AF416" s="19" t="str">
        <f t="shared" si="180"/>
        <v>彩1</v>
      </c>
      <c r="AG416" s="19">
        <f>IFERROR(_xlfn.XLOOKUP(C416+1,[2]基因升级!$E$141:$E$500,[2]基因升级!$D$141:$D$500)-1,AG415)</f>
        <v>99</v>
      </c>
      <c r="AH416" s="19">
        <v>7</v>
      </c>
      <c r="AI416" s="19">
        <f t="shared" si="181"/>
        <v>9.2039189417803</v>
      </c>
      <c r="AJ416" s="19">
        <f t="shared" si="193"/>
        <v>0</v>
      </c>
      <c r="AK416" s="269">
        <v>1.864</v>
      </c>
      <c r="AL416" s="287">
        <f t="shared" si="201"/>
        <v>13.3599999999999</v>
      </c>
      <c r="AM416" s="287">
        <f t="shared" si="202"/>
        <v>9.75999999999996</v>
      </c>
      <c r="AN416" s="287">
        <f t="shared" si="164"/>
        <v>6.16</v>
      </c>
      <c r="AO416" s="293"/>
      <c r="AQ416" s="19">
        <f t="shared" si="182"/>
        <v>2.46926255074582</v>
      </c>
      <c r="AR416" s="19">
        <f t="shared" si="183"/>
        <v>1.93546655111132</v>
      </c>
      <c r="AS416" s="19">
        <f t="shared" si="184"/>
        <v>1.51706458648526</v>
      </c>
      <c r="AT416" s="19">
        <f t="shared" si="185"/>
        <v>1</v>
      </c>
      <c r="AU416" s="19">
        <f t="shared" si="186"/>
        <v>1</v>
      </c>
      <c r="AV416" s="232">
        <f t="shared" si="166"/>
        <v>0.0399999999999991</v>
      </c>
      <c r="AW416" s="232">
        <f t="shared" si="167"/>
        <v>0.0399999999999991</v>
      </c>
      <c r="AX416" s="232">
        <f t="shared" si="168"/>
        <v>0.04</v>
      </c>
      <c r="AY416" s="232">
        <f t="shared" si="169"/>
        <v>0</v>
      </c>
      <c r="AZ416" s="232">
        <f t="shared" si="170"/>
        <v>0</v>
      </c>
    </row>
    <row r="417" spans="1:52">
      <c r="A417" s="269"/>
      <c r="C417" s="19">
        <v>294</v>
      </c>
      <c r="D417" s="86">
        <f ca="1" t="shared" si="194"/>
        <v>207.916725820845</v>
      </c>
      <c r="E417" s="251">
        <f ca="1" t="shared" si="171"/>
        <v>0.300678908119009</v>
      </c>
      <c r="F417" s="269">
        <f ca="1" t="shared" si="187"/>
        <v>467.728410511049</v>
      </c>
      <c r="G417" s="283">
        <f ca="1" t="shared" si="188"/>
        <v>140.636067768702</v>
      </c>
      <c r="H417" s="279">
        <f ca="1" t="shared" si="189"/>
        <v>0.177802409525043</v>
      </c>
      <c r="I417" s="269">
        <f ca="1">SUM($J$125:J417)/SUM($H$125:H417)</f>
        <v>0.542554650946944</v>
      </c>
      <c r="J417" s="284">
        <f t="shared" si="195"/>
        <v>0.0782728987641406</v>
      </c>
      <c r="K417" s="19">
        <f t="shared" si="197"/>
        <v>30300</v>
      </c>
      <c r="L417" s="269">
        <f t="shared" si="190"/>
        <v>2.51499999999997</v>
      </c>
      <c r="M417" s="226">
        <f ca="1" t="shared" si="191"/>
        <v>78.6719999999999</v>
      </c>
      <c r="N417" s="280">
        <f ca="1" t="shared" si="196"/>
        <v>0.0995295107609167</v>
      </c>
      <c r="O417" s="226">
        <f t="shared" si="200"/>
        <v>26.4</v>
      </c>
      <c r="P417" s="19">
        <f ca="1" t="shared" si="165"/>
        <v>20.8</v>
      </c>
      <c r="Q417" s="226">
        <f ca="1" t="shared" si="199"/>
        <v>2.98</v>
      </c>
      <c r="R417" s="269">
        <f ca="1" t="shared" si="172"/>
        <v>0.682287342042708</v>
      </c>
      <c r="S417" s="266">
        <f ca="1" t="shared" si="173"/>
        <v>64.0974056967628</v>
      </c>
      <c r="T417" s="226">
        <f ca="1">(1+OFFSET('玩法产出(新)'!$C$18,MATCH(X417,'玩法产出(新)'!$B$19:$B$25,0),1)*(1-V417)+OFFSET('玩法产出(新)'!$C$18,1+MATCH(X417,'玩法产出(新)'!$B$19:$B$25,0),1)*(V417))^AA417*(1+OFFSET('玩法产出(新)'!$C$18,MATCH(X417,'玩法产出(新)'!$B$19:$B$25,0),3)*(1-V417)+OFFSET('玩法产出(新)'!$C$18,1+MATCH(X417,'玩法产出(新)'!$B$19:$B$25,0),3)*(V417))^AB417*(1+OFFSET('玩法产出(新)'!$C$18,MATCH(X417,'玩法产出(新)'!$B$19:$B$25,0),4)*(1-V417)+OFFSET('玩法产出(新)'!$C$18,1+MATCH(X417,'玩法产出(新)'!$B$19:$B$25,0),4)*(V417))^AC417*(1+OFFSET('玩法产出(新)'!$C$18,MATCH(X417,'玩法产出(新)'!$B$19:$B$25,0),5)*(1+V417)+OFFSET('玩法产出(新)'!$C$18,1+MATCH(X417,'玩法产出(新)'!$B$19:$B$25,5),1)*(V417))^AD417*(1+OFFSET('玩法产出(新)'!$C$18,MATCH(X417,'玩法产出(新)'!$B$19:$B$25,0),6)*(1+V417)+OFFSET('玩法产出(新)'!$C$18,1+MATCH(X417,'玩法产出(新)'!$B$19:$B$25,0),6)*(V417))^AE417</f>
        <v>76.4581735340582</v>
      </c>
      <c r="U417" s="226">
        <f ca="1" t="shared" si="192"/>
        <v>0.122876498593951</v>
      </c>
      <c r="V417" s="226">
        <f ca="1">COUNTIF($X$124:$X417,X417)/(COUNTIF($X$124:$X$723,X417)+1)</f>
        <v>0.36701030927835</v>
      </c>
      <c r="W417" s="19">
        <v>30</v>
      </c>
      <c r="X417" s="19" t="s">
        <v>326</v>
      </c>
      <c r="Y417" s="19">
        <f t="shared" si="198"/>
        <v>30560</v>
      </c>
      <c r="Z417" s="19">
        <f ca="1" t="shared" si="174"/>
        <v>0.660855303092783</v>
      </c>
      <c r="AA417" s="282">
        <f ca="1" t="shared" si="175"/>
        <v>3.783225</v>
      </c>
      <c r="AB417" s="282">
        <f ca="1" t="shared" si="176"/>
        <v>18</v>
      </c>
      <c r="AC417" s="282">
        <f ca="1" t="shared" si="177"/>
        <v>6.2604</v>
      </c>
      <c r="AD417" s="282">
        <f ca="1" t="shared" si="178"/>
        <v>1.5651</v>
      </c>
      <c r="AE417" s="282">
        <f ca="1" t="shared" si="179"/>
        <v>0.391275</v>
      </c>
      <c r="AF417" s="19" t="str">
        <f t="shared" si="180"/>
        <v>彩1</v>
      </c>
      <c r="AG417" s="19">
        <f>IFERROR(_xlfn.XLOOKUP(C417+1,[2]基因升级!$E$141:$E$500,[2]基因升级!$D$141:$D$500)-1,AG416)</f>
        <v>99</v>
      </c>
      <c r="AH417" s="19">
        <v>7</v>
      </c>
      <c r="AI417" s="19">
        <f t="shared" si="181"/>
        <v>9.2039189417803</v>
      </c>
      <c r="AJ417" s="19">
        <f t="shared" si="193"/>
        <v>0</v>
      </c>
      <c r="AK417" s="269">
        <v>1.864</v>
      </c>
      <c r="AL417" s="287">
        <f t="shared" si="201"/>
        <v>13.3999999999999</v>
      </c>
      <c r="AM417" s="287">
        <f t="shared" si="202"/>
        <v>9.79999999999996</v>
      </c>
      <c r="AN417" s="287">
        <f t="shared" si="164"/>
        <v>6.2</v>
      </c>
      <c r="AO417" s="293"/>
      <c r="AQ417" s="19">
        <f t="shared" si="182"/>
        <v>2.47595428040558</v>
      </c>
      <c r="AR417" s="19">
        <f t="shared" si="183"/>
        <v>1.9407116875273</v>
      </c>
      <c r="AS417" s="19">
        <f t="shared" si="184"/>
        <v>1.52117584880772</v>
      </c>
      <c r="AT417" s="19">
        <f t="shared" si="185"/>
        <v>1</v>
      </c>
      <c r="AU417" s="19">
        <f t="shared" si="186"/>
        <v>1</v>
      </c>
      <c r="AV417" s="232">
        <f t="shared" si="166"/>
        <v>0.0399999999999991</v>
      </c>
      <c r="AW417" s="232">
        <f t="shared" si="167"/>
        <v>0.0399999999999991</v>
      </c>
      <c r="AX417" s="232">
        <f t="shared" si="168"/>
        <v>0.04</v>
      </c>
      <c r="AY417" s="232">
        <f t="shared" si="169"/>
        <v>0</v>
      </c>
      <c r="AZ417" s="232">
        <f t="shared" si="170"/>
        <v>0</v>
      </c>
    </row>
    <row r="418" spans="1:52">
      <c r="A418" s="269"/>
      <c r="C418" s="19">
        <v>295</v>
      </c>
      <c r="D418" s="86">
        <f ca="1" t="shared" si="194"/>
        <v>208.216662504706</v>
      </c>
      <c r="E418" s="251">
        <f ca="1" t="shared" si="171"/>
        <v>0.299936683861118</v>
      </c>
      <c r="F418" s="269">
        <f ca="1" t="shared" si="187"/>
        <v>469.475701357669</v>
      </c>
      <c r="G418" s="283">
        <f ca="1" t="shared" si="188"/>
        <v>140.812985018592</v>
      </c>
      <c r="H418" s="279">
        <f ca="1" t="shared" si="189"/>
        <v>0.176917249890266</v>
      </c>
      <c r="I418" s="269">
        <f ca="1">SUM($J$125:J418)/SUM($H$125:H418)</f>
        <v>0.542417556120985</v>
      </c>
      <c r="J418" s="284">
        <f t="shared" si="195"/>
        <v>0.0780534933464594</v>
      </c>
      <c r="K418" s="19">
        <f t="shared" si="197"/>
        <v>30400</v>
      </c>
      <c r="L418" s="269">
        <f t="shared" si="190"/>
        <v>2.51999999999997</v>
      </c>
      <c r="M418" s="226">
        <f ca="1" t="shared" si="191"/>
        <v>79.1999999999999</v>
      </c>
      <c r="N418" s="280">
        <f ca="1" t="shared" si="196"/>
        <v>0.0988637565437926</v>
      </c>
      <c r="O418" s="226">
        <f t="shared" si="200"/>
        <v>26.4</v>
      </c>
      <c r="P418" s="19">
        <f ca="1" t="shared" si="165"/>
        <v>21</v>
      </c>
      <c r="Q418" s="226">
        <f ca="1" t="shared" si="199"/>
        <v>3</v>
      </c>
      <c r="R418" s="269">
        <f ca="1" t="shared" si="172"/>
        <v>0.683596827219388</v>
      </c>
      <c r="S418" s="266">
        <f ca="1" t="shared" si="173"/>
        <v>64.2204251307337</v>
      </c>
      <c r="T418" s="226">
        <f ca="1">(1+OFFSET('玩法产出(新)'!$C$18,MATCH(X418,'玩法产出(新)'!$B$19:$B$25,0),1)*(1-V418)+OFFSET('玩法产出(新)'!$C$18,1+MATCH(X418,'玩法产出(新)'!$B$19:$B$25,0),1)*(V418))^AA418*(1+OFFSET('玩法产出(新)'!$C$18,MATCH(X418,'玩法产出(新)'!$B$19:$B$25,0),3)*(1-V418)+OFFSET('玩法产出(新)'!$C$18,1+MATCH(X418,'玩法产出(新)'!$B$19:$B$25,0),3)*(V418))^AB418*(1+OFFSET('玩法产出(新)'!$C$18,MATCH(X418,'玩法产出(新)'!$B$19:$B$25,0),4)*(1-V418)+OFFSET('玩法产出(新)'!$C$18,1+MATCH(X418,'玩法产出(新)'!$B$19:$B$25,0),4)*(V418))^AC418*(1+OFFSET('玩法产出(新)'!$C$18,MATCH(X418,'玩法产出(新)'!$B$19:$B$25,0),5)*(1+V418)+OFFSET('玩法产出(新)'!$C$18,1+MATCH(X418,'玩法产出(新)'!$B$19:$B$25,5),1)*(V418))^AD418*(1+OFFSET('玩法产出(新)'!$C$18,MATCH(X418,'玩法产出(新)'!$B$19:$B$25,0),6)*(1+V418)+OFFSET('玩法产出(新)'!$C$18,1+MATCH(X418,'玩法产出(新)'!$B$19:$B$25,0),6)*(V418))^AE418</f>
        <v>77.0972158297179</v>
      </c>
      <c r="U418" s="226">
        <f ca="1" t="shared" si="192"/>
        <v>0.123019433970866</v>
      </c>
      <c r="V418" s="226">
        <f ca="1">COUNTIF($X$124:$X418,X418)/(COUNTIF($X$124:$X$723,X418)+1)</f>
        <v>0.369072164948454</v>
      </c>
      <c r="W418" s="19">
        <v>30</v>
      </c>
      <c r="X418" s="19" t="s">
        <v>326</v>
      </c>
      <c r="Y418" s="19">
        <f t="shared" si="198"/>
        <v>30660</v>
      </c>
      <c r="Z418" s="19">
        <f ca="1" t="shared" si="174"/>
        <v>0.656384826030928</v>
      </c>
      <c r="AA418" s="282">
        <f ca="1" t="shared" si="175"/>
        <v>3.755859375</v>
      </c>
      <c r="AB418" s="282">
        <f ca="1" t="shared" si="176"/>
        <v>18</v>
      </c>
      <c r="AC418" s="282">
        <f ca="1" t="shared" si="177"/>
        <v>6.28125</v>
      </c>
      <c r="AD418" s="282">
        <f ca="1" t="shared" si="178"/>
        <v>1.5703125</v>
      </c>
      <c r="AE418" s="282">
        <f ca="1" t="shared" si="179"/>
        <v>0.392578125</v>
      </c>
      <c r="AF418" s="19" t="str">
        <f t="shared" si="180"/>
        <v>彩1</v>
      </c>
      <c r="AG418" s="19">
        <f>IFERROR(_xlfn.XLOOKUP(C418+1,[2]基因升级!$E$141:$E$500,[2]基因升级!$D$141:$D$500)-1,AG417)</f>
        <v>99</v>
      </c>
      <c r="AH418" s="19">
        <v>7</v>
      </c>
      <c r="AI418" s="19">
        <f t="shared" si="181"/>
        <v>9.2039189417803</v>
      </c>
      <c r="AJ418" s="19">
        <f t="shared" si="193"/>
        <v>0</v>
      </c>
      <c r="AK418" s="269">
        <v>1.864</v>
      </c>
      <c r="AL418" s="287">
        <f t="shared" si="201"/>
        <v>13.4399999999999</v>
      </c>
      <c r="AM418" s="287">
        <f t="shared" si="202"/>
        <v>9.83999999999996</v>
      </c>
      <c r="AN418" s="287">
        <f t="shared" si="164"/>
        <v>6.24</v>
      </c>
      <c r="AO418" s="293"/>
      <c r="AQ418" s="19">
        <f t="shared" si="182"/>
        <v>2.48266414472899</v>
      </c>
      <c r="AR418" s="19">
        <f t="shared" si="183"/>
        <v>1.94597103832276</v>
      </c>
      <c r="AS418" s="19">
        <f t="shared" si="184"/>
        <v>1.52529825269794</v>
      </c>
      <c r="AT418" s="19">
        <f t="shared" si="185"/>
        <v>1</v>
      </c>
      <c r="AU418" s="19">
        <f t="shared" si="186"/>
        <v>1</v>
      </c>
      <c r="AV418" s="232">
        <f t="shared" si="166"/>
        <v>0.0399999999999991</v>
      </c>
      <c r="AW418" s="232">
        <f t="shared" si="167"/>
        <v>0.0399999999999991</v>
      </c>
      <c r="AX418" s="232">
        <f t="shared" si="168"/>
        <v>0.04</v>
      </c>
      <c r="AY418" s="232">
        <f t="shared" si="169"/>
        <v>0</v>
      </c>
      <c r="AZ418" s="232">
        <f t="shared" si="170"/>
        <v>0</v>
      </c>
    </row>
    <row r="419" spans="1:52">
      <c r="A419" s="269"/>
      <c r="C419" s="19">
        <v>296</v>
      </c>
      <c r="D419" s="86">
        <f ca="1" t="shared" si="194"/>
        <v>208.515867015166</v>
      </c>
      <c r="E419" s="251">
        <f ca="1" t="shared" si="171"/>
        <v>0.2992045104595</v>
      </c>
      <c r="F419" s="269">
        <f ca="1" t="shared" si="187"/>
        <v>471.212907280831</v>
      </c>
      <c r="G419" s="283">
        <f ca="1" t="shared" si="188"/>
        <v>140.989027245159</v>
      </c>
      <c r="H419" s="279">
        <f ca="1" t="shared" si="189"/>
        <v>0.176042226567063</v>
      </c>
      <c r="I419" s="269">
        <f ca="1">SUM($J$125:J419)/SUM($H$125:H419)</f>
        <v>0.542282788974684</v>
      </c>
      <c r="J419" s="284">
        <f t="shared" si="195"/>
        <v>0.0778353769100164</v>
      </c>
      <c r="K419" s="19">
        <f t="shared" si="197"/>
        <v>30500</v>
      </c>
      <c r="L419" s="269">
        <f t="shared" si="190"/>
        <v>2.52499999999997</v>
      </c>
      <c r="M419" s="226">
        <f ca="1" t="shared" si="191"/>
        <v>79.7279999999999</v>
      </c>
      <c r="N419" s="280">
        <f ca="1" t="shared" si="196"/>
        <v>0.0982068496570676</v>
      </c>
      <c r="O419" s="226">
        <f t="shared" si="200"/>
        <v>26.4</v>
      </c>
      <c r="P419" s="19">
        <f ca="1" t="shared" si="165"/>
        <v>21.2</v>
      </c>
      <c r="Q419" s="226">
        <f ca="1" t="shared" si="199"/>
        <v>3.02</v>
      </c>
      <c r="R419" s="269">
        <f ca="1" t="shared" si="172"/>
        <v>0.684907832967646</v>
      </c>
      <c r="S419" s="266">
        <f ca="1" t="shared" si="173"/>
        <v>64.3435874146261</v>
      </c>
      <c r="T419" s="226">
        <f ca="1">(1+OFFSET('玩法产出(新)'!$C$18,MATCH(X419,'玩法产出(新)'!$B$19:$B$25,0),1)*(1-V419)+OFFSET('玩法产出(新)'!$C$18,1+MATCH(X419,'玩法产出(新)'!$B$19:$B$25,0),1)*(V419))^AA419*(1+OFFSET('玩法产出(新)'!$C$18,MATCH(X419,'玩法产出(新)'!$B$19:$B$25,0),3)*(1-V419)+OFFSET('玩法产出(新)'!$C$18,1+MATCH(X419,'玩法产出(新)'!$B$19:$B$25,0),3)*(V419))^AB419*(1+OFFSET('玩法产出(新)'!$C$18,MATCH(X419,'玩法产出(新)'!$B$19:$B$25,0),4)*(1-V419)+OFFSET('玩法产出(新)'!$C$18,1+MATCH(X419,'玩法产出(新)'!$B$19:$B$25,0),4)*(V419))^AC419*(1+OFFSET('玩法产出(新)'!$C$18,MATCH(X419,'玩法产出(新)'!$B$19:$B$25,0),5)*(1+V419)+OFFSET('玩法产出(新)'!$C$18,1+MATCH(X419,'玩法产出(新)'!$B$19:$B$25,5),1)*(V419))^AD419*(1+OFFSET('玩法产出(新)'!$C$18,MATCH(X419,'玩法产出(新)'!$B$19:$B$25,0),6)*(1+V419)+OFFSET('玩法产出(新)'!$C$18,1+MATCH(X419,'玩法产出(新)'!$B$19:$B$25,0),6)*(V419))^AE419</f>
        <v>77.7423506604071</v>
      </c>
      <c r="U419" s="226">
        <f ca="1" t="shared" si="192"/>
        <v>0.123162283892416</v>
      </c>
      <c r="V419" s="226">
        <f ca="1">COUNTIF($X$124:$X419,X419)/(COUNTIF($X$124:$X$723,X419)+1)</f>
        <v>0.371134020618557</v>
      </c>
      <c r="W419" s="19">
        <v>30</v>
      </c>
      <c r="X419" s="19" t="s">
        <v>326</v>
      </c>
      <c r="Y419" s="19">
        <f t="shared" si="198"/>
        <v>30760</v>
      </c>
      <c r="Z419" s="19">
        <f ca="1" t="shared" si="174"/>
        <v>0.651909835051547</v>
      </c>
      <c r="AA419" s="282">
        <f ca="1" t="shared" si="175"/>
        <v>3.72849375</v>
      </c>
      <c r="AB419" s="282">
        <f ca="1" t="shared" si="176"/>
        <v>18</v>
      </c>
      <c r="AC419" s="282">
        <f ca="1" t="shared" si="177"/>
        <v>6.3021</v>
      </c>
      <c r="AD419" s="282">
        <f ca="1" t="shared" si="178"/>
        <v>1.575525</v>
      </c>
      <c r="AE419" s="282">
        <f ca="1" t="shared" si="179"/>
        <v>0.39388125</v>
      </c>
      <c r="AF419" s="19" t="str">
        <f t="shared" si="180"/>
        <v>彩1</v>
      </c>
      <c r="AG419" s="19">
        <f>IFERROR(_xlfn.XLOOKUP(C419+1,[2]基因升级!$E$141:$E$500,[2]基因升级!$D$141:$D$500)-1,AG418)</f>
        <v>99</v>
      </c>
      <c r="AH419" s="19">
        <v>7</v>
      </c>
      <c r="AI419" s="19">
        <f t="shared" si="181"/>
        <v>9.2039189417803</v>
      </c>
      <c r="AJ419" s="19">
        <f t="shared" si="193"/>
        <v>0</v>
      </c>
      <c r="AK419" s="269">
        <v>1.864</v>
      </c>
      <c r="AL419" s="287">
        <f t="shared" si="201"/>
        <v>13.4799999999999</v>
      </c>
      <c r="AM419" s="287">
        <f t="shared" si="202"/>
        <v>9.87999999999996</v>
      </c>
      <c r="AN419" s="287">
        <f t="shared" si="164"/>
        <v>6.28</v>
      </c>
      <c r="AO419" s="293"/>
      <c r="AQ419" s="19">
        <f t="shared" si="182"/>
        <v>2.4893921928612</v>
      </c>
      <c r="AR419" s="19">
        <f t="shared" si="183"/>
        <v>1.95124464201883</v>
      </c>
      <c r="AS419" s="19">
        <f t="shared" si="184"/>
        <v>1.52943182834969</v>
      </c>
      <c r="AT419" s="19">
        <f t="shared" si="185"/>
        <v>1</v>
      </c>
      <c r="AU419" s="19">
        <f t="shared" si="186"/>
        <v>1</v>
      </c>
      <c r="AV419" s="232">
        <f t="shared" si="166"/>
        <v>0.0399999999999991</v>
      </c>
      <c r="AW419" s="232">
        <f t="shared" si="167"/>
        <v>0.0399999999999991</v>
      </c>
      <c r="AX419" s="232">
        <f t="shared" si="168"/>
        <v>0.04</v>
      </c>
      <c r="AY419" s="232">
        <f t="shared" si="169"/>
        <v>0</v>
      </c>
      <c r="AZ419" s="232">
        <f t="shared" si="170"/>
        <v>0</v>
      </c>
    </row>
    <row r="420" spans="1:52">
      <c r="A420" s="269"/>
      <c r="C420" s="19">
        <v>297</v>
      </c>
      <c r="D420" s="86">
        <f ca="1" t="shared" si="194"/>
        <v>208.814349216236</v>
      </c>
      <c r="E420" s="251">
        <f ca="1" t="shared" si="171"/>
        <v>0.298482201070668</v>
      </c>
      <c r="F420" s="269">
        <f ca="1" t="shared" si="187"/>
        <v>472.940107957518</v>
      </c>
      <c r="G420" s="283">
        <f ca="1" t="shared" si="188"/>
        <v>141.164204397759</v>
      </c>
      <c r="H420" s="279">
        <f ca="1" t="shared" si="189"/>
        <v>0.175177152600298</v>
      </c>
      <c r="I420" s="269">
        <f ca="1">SUM($J$125:J420)/SUM($H$125:H420)</f>
        <v>0.542150306051772</v>
      </c>
      <c r="J420" s="284">
        <f t="shared" si="195"/>
        <v>0.077618537696722</v>
      </c>
      <c r="K420" s="19">
        <f t="shared" si="197"/>
        <v>30600</v>
      </c>
      <c r="L420" s="269">
        <f t="shared" si="190"/>
        <v>2.52999999999997</v>
      </c>
      <c r="M420" s="226">
        <f ca="1" t="shared" si="191"/>
        <v>80.2559999999999</v>
      </c>
      <c r="N420" s="280">
        <f ca="1" t="shared" si="196"/>
        <v>0.097558614903555</v>
      </c>
      <c r="O420" s="226">
        <f t="shared" si="200"/>
        <v>26.4</v>
      </c>
      <c r="P420" s="19">
        <f ca="1" t="shared" si="165"/>
        <v>21.4</v>
      </c>
      <c r="Q420" s="226">
        <f ca="1" t="shared" si="199"/>
        <v>3.04</v>
      </c>
      <c r="R420" s="269">
        <f ca="1" t="shared" si="172"/>
        <v>0.686220358379038</v>
      </c>
      <c r="S420" s="266">
        <f ca="1" t="shared" si="173"/>
        <v>64.4668924630965</v>
      </c>
      <c r="T420" s="226">
        <f ca="1">(1+OFFSET('玩法产出(新)'!$C$18,MATCH(X420,'玩法产出(新)'!$B$19:$B$25,0),1)*(1-V420)+OFFSET('玩法产出(新)'!$C$18,1+MATCH(X420,'玩法产出(新)'!$B$19:$B$25,0),1)*(V420))^AA420*(1+OFFSET('玩法产出(新)'!$C$18,MATCH(X420,'玩法产出(新)'!$B$19:$B$25,0),3)*(1-V420)+OFFSET('玩法产出(新)'!$C$18,1+MATCH(X420,'玩法产出(新)'!$B$19:$B$25,0),3)*(V420))^AB420*(1+OFFSET('玩法产出(新)'!$C$18,MATCH(X420,'玩法产出(新)'!$B$19:$B$25,0),4)*(1-V420)+OFFSET('玩法产出(新)'!$C$18,1+MATCH(X420,'玩法产出(新)'!$B$19:$B$25,0),4)*(V420))^AC420*(1+OFFSET('玩法产出(新)'!$C$18,MATCH(X420,'玩法产出(新)'!$B$19:$B$25,0),5)*(1+V420)+OFFSET('玩法产出(新)'!$C$18,1+MATCH(X420,'玩法产出(新)'!$B$19:$B$25,5),1)*(V420))^AD420*(1+OFFSET('玩法产出(新)'!$C$18,MATCH(X420,'玩法产出(新)'!$B$19:$B$25,0),6)*(1+V420)+OFFSET('玩法产出(新)'!$C$18,1+MATCH(X420,'玩法产出(新)'!$B$19:$B$25,0),6)*(V420))^AE420</f>
        <v>78.3936410773709</v>
      </c>
      <c r="U420" s="226">
        <f ca="1" t="shared" si="192"/>
        <v>0.123305048470391</v>
      </c>
      <c r="V420" s="226">
        <f ca="1">COUNTIF($X$124:$X420,X420)/(COUNTIF($X$124:$X$723,X420)+1)</f>
        <v>0.37319587628866</v>
      </c>
      <c r="W420" s="19">
        <v>30</v>
      </c>
      <c r="X420" s="19" t="s">
        <v>326</v>
      </c>
      <c r="Y420" s="19">
        <f t="shared" si="198"/>
        <v>30860</v>
      </c>
      <c r="Z420" s="19">
        <f ca="1" t="shared" si="174"/>
        <v>0.647430330154639</v>
      </c>
      <c r="AA420" s="282">
        <f ca="1" t="shared" si="175"/>
        <v>3.701128125</v>
      </c>
      <c r="AB420" s="282">
        <f ca="1" t="shared" si="176"/>
        <v>18</v>
      </c>
      <c r="AC420" s="282">
        <f ca="1" t="shared" si="177"/>
        <v>6.32295</v>
      </c>
      <c r="AD420" s="282">
        <f ca="1" t="shared" si="178"/>
        <v>1.5807375</v>
      </c>
      <c r="AE420" s="282">
        <f ca="1" t="shared" si="179"/>
        <v>0.395184375</v>
      </c>
      <c r="AF420" s="19" t="str">
        <f t="shared" si="180"/>
        <v>彩1</v>
      </c>
      <c r="AG420" s="19">
        <f>IFERROR(_xlfn.XLOOKUP(C420+1,[2]基因升级!$E$141:$E$500,[2]基因升级!$D$141:$D$500)-1,AG419)</f>
        <v>99</v>
      </c>
      <c r="AH420" s="19">
        <v>7</v>
      </c>
      <c r="AI420" s="19">
        <f t="shared" si="181"/>
        <v>9.2039189417803</v>
      </c>
      <c r="AJ420" s="19">
        <f t="shared" si="193"/>
        <v>0</v>
      </c>
      <c r="AK420" s="269">
        <v>1.864</v>
      </c>
      <c r="AL420" s="287">
        <f t="shared" si="201"/>
        <v>13.5199999999999</v>
      </c>
      <c r="AM420" s="287">
        <f t="shared" si="202"/>
        <v>9.91999999999996</v>
      </c>
      <c r="AN420" s="287">
        <f t="shared" si="164"/>
        <v>6.32</v>
      </c>
      <c r="AO420" s="293"/>
      <c r="AQ420" s="19">
        <f t="shared" si="182"/>
        <v>2.49613847408055</v>
      </c>
      <c r="AR420" s="19">
        <f t="shared" si="183"/>
        <v>1.95653253724102</v>
      </c>
      <c r="AS420" s="19">
        <f t="shared" si="184"/>
        <v>1.53357660603858</v>
      </c>
      <c r="AT420" s="19">
        <f t="shared" si="185"/>
        <v>1</v>
      </c>
      <c r="AU420" s="19">
        <f t="shared" si="186"/>
        <v>1</v>
      </c>
      <c r="AV420" s="232">
        <f t="shared" si="166"/>
        <v>0.0399999999999991</v>
      </c>
      <c r="AW420" s="232">
        <f t="shared" si="167"/>
        <v>0.0399999999999991</v>
      </c>
      <c r="AX420" s="232">
        <f t="shared" si="168"/>
        <v>0.04</v>
      </c>
      <c r="AY420" s="232">
        <f t="shared" si="169"/>
        <v>0</v>
      </c>
      <c r="AZ420" s="232">
        <f t="shared" si="170"/>
        <v>0</v>
      </c>
    </row>
    <row r="421" spans="1:52">
      <c r="A421" s="269"/>
      <c r="C421" s="19">
        <v>298</v>
      </c>
      <c r="D421" s="86">
        <f ca="1" t="shared" si="194"/>
        <v>209.112118789829</v>
      </c>
      <c r="E421" s="251">
        <f ca="1" t="shared" si="171"/>
        <v>0.297769573592901</v>
      </c>
      <c r="F421" s="269">
        <f ca="1" t="shared" si="187"/>
        <v>474.657382008977</v>
      </c>
      <c r="G421" s="283">
        <f ca="1" t="shared" si="188"/>
        <v>141.338526243536</v>
      </c>
      <c r="H421" s="279">
        <f ca="1" t="shared" si="189"/>
        <v>0.174321845776404</v>
      </c>
      <c r="I421" s="269">
        <f ca="1">SUM($J$125:J421)/SUM($H$125:H421)</f>
        <v>0.542020064922734</v>
      </c>
      <c r="J421" s="284">
        <f t="shared" si="195"/>
        <v>0.0774029640950005</v>
      </c>
      <c r="K421" s="19">
        <f t="shared" si="197"/>
        <v>30700</v>
      </c>
      <c r="L421" s="269">
        <f t="shared" si="190"/>
        <v>2.53499999999997</v>
      </c>
      <c r="M421" s="226">
        <f ca="1" t="shared" si="191"/>
        <v>80.7839999999999</v>
      </c>
      <c r="N421" s="280">
        <f ca="1" t="shared" si="196"/>
        <v>0.0969188816814324</v>
      </c>
      <c r="O421" s="226">
        <f t="shared" si="200"/>
        <v>26.4</v>
      </c>
      <c r="P421" s="19">
        <f ca="1" t="shared" si="165"/>
        <v>21.6</v>
      </c>
      <c r="Q421" s="226">
        <f ca="1" t="shared" si="199"/>
        <v>3.06</v>
      </c>
      <c r="R421" s="269">
        <f ca="1" t="shared" si="172"/>
        <v>0.68753440254631</v>
      </c>
      <c r="S421" s="266">
        <f ca="1" t="shared" si="173"/>
        <v>64.590340190913</v>
      </c>
      <c r="T421" s="226">
        <f ca="1">(1+OFFSET('玩法产出(新)'!$C$18,MATCH(X421,'玩法产出(新)'!$B$19:$B$25,0),1)*(1-V421)+OFFSET('玩法产出(新)'!$C$18,1+MATCH(X421,'玩法产出(新)'!$B$19:$B$25,0),1)*(V421))^AA421*(1+OFFSET('玩法产出(新)'!$C$18,MATCH(X421,'玩法产出(新)'!$B$19:$B$25,0),3)*(1-V421)+OFFSET('玩法产出(新)'!$C$18,1+MATCH(X421,'玩法产出(新)'!$B$19:$B$25,0),3)*(V421))^AB421*(1+OFFSET('玩法产出(新)'!$C$18,MATCH(X421,'玩法产出(新)'!$B$19:$B$25,0),4)*(1-V421)+OFFSET('玩法产出(新)'!$C$18,1+MATCH(X421,'玩法产出(新)'!$B$19:$B$25,0),4)*(V421))^AC421*(1+OFFSET('玩法产出(新)'!$C$18,MATCH(X421,'玩法产出(新)'!$B$19:$B$25,0),5)*(1+V421)+OFFSET('玩法产出(新)'!$C$18,1+MATCH(X421,'玩法产出(新)'!$B$19:$B$25,5),1)*(V421))^AD421*(1+OFFSET('玩法产出(新)'!$C$18,MATCH(X421,'玩法产出(新)'!$B$19:$B$25,0),6)*(1+V421)+OFFSET('玩法产出(新)'!$C$18,1+MATCH(X421,'玩法产出(新)'!$B$19:$B$25,0),6)*(V421))^AE421</f>
        <v>79.0511508282067</v>
      </c>
      <c r="U421" s="226">
        <f ca="1" t="shared" si="192"/>
        <v>0.123447727816468</v>
      </c>
      <c r="V421" s="226">
        <f ca="1">COUNTIF($X$124:$X421,X421)/(COUNTIF($X$124:$X$723,X421)+1)</f>
        <v>0.375257731958763</v>
      </c>
      <c r="W421" s="19">
        <v>30</v>
      </c>
      <c r="X421" s="19" t="s">
        <v>326</v>
      </c>
      <c r="Y421" s="19">
        <f t="shared" si="198"/>
        <v>30960</v>
      </c>
      <c r="Z421" s="19">
        <f ca="1" t="shared" si="174"/>
        <v>0.642946311340206</v>
      </c>
      <c r="AA421" s="282">
        <f ca="1" t="shared" si="175"/>
        <v>3.6737625</v>
      </c>
      <c r="AB421" s="282">
        <f ca="1" t="shared" si="176"/>
        <v>18</v>
      </c>
      <c r="AC421" s="282">
        <f ca="1" t="shared" si="177"/>
        <v>6.3438</v>
      </c>
      <c r="AD421" s="282">
        <f ca="1" t="shared" si="178"/>
        <v>1.58595</v>
      </c>
      <c r="AE421" s="282">
        <f ca="1" t="shared" si="179"/>
        <v>0.3964875</v>
      </c>
      <c r="AF421" s="19" t="str">
        <f t="shared" si="180"/>
        <v>彩1</v>
      </c>
      <c r="AG421" s="19">
        <f>IFERROR(_xlfn.XLOOKUP(C421+1,[2]基因升级!$E$141:$E$500,[2]基因升级!$D$141:$D$500)-1,AG420)</f>
        <v>100</v>
      </c>
      <c r="AH421" s="19">
        <v>7</v>
      </c>
      <c r="AI421" s="19">
        <f t="shared" si="181"/>
        <v>9.2039189417803</v>
      </c>
      <c r="AJ421" s="19">
        <f t="shared" si="193"/>
        <v>0</v>
      </c>
      <c r="AK421" s="269">
        <v>1.864</v>
      </c>
      <c r="AL421" s="287">
        <f t="shared" si="201"/>
        <v>13.5599999999999</v>
      </c>
      <c r="AM421" s="287">
        <f t="shared" si="202"/>
        <v>9.95999999999996</v>
      </c>
      <c r="AN421" s="287">
        <f t="shared" si="164"/>
        <v>6.36</v>
      </c>
      <c r="AO421" s="293"/>
      <c r="AQ421" s="19">
        <f t="shared" si="182"/>
        <v>2.50290303779891</v>
      </c>
      <c r="AR421" s="19">
        <f t="shared" si="183"/>
        <v>1.96183476271955</v>
      </c>
      <c r="AS421" s="19">
        <f t="shared" si="184"/>
        <v>1.53773261612226</v>
      </c>
      <c r="AT421" s="19">
        <f t="shared" si="185"/>
        <v>1</v>
      </c>
      <c r="AU421" s="19">
        <f t="shared" si="186"/>
        <v>1</v>
      </c>
      <c r="AV421" s="232">
        <f t="shared" si="166"/>
        <v>0.0399999999999991</v>
      </c>
      <c r="AW421" s="232">
        <f t="shared" si="167"/>
        <v>0.0399999999999991</v>
      </c>
      <c r="AX421" s="232">
        <f t="shared" si="168"/>
        <v>0.04</v>
      </c>
      <c r="AY421" s="232">
        <f t="shared" si="169"/>
        <v>0</v>
      </c>
      <c r="AZ421" s="232">
        <f t="shared" si="170"/>
        <v>0</v>
      </c>
    </row>
    <row r="422" spans="1:52">
      <c r="A422" s="269"/>
      <c r="C422" s="19">
        <v>299</v>
      </c>
      <c r="D422" s="86">
        <f ca="1" t="shared" si="194"/>
        <v>209.409185240343</v>
      </c>
      <c r="E422" s="251">
        <f ca="1" t="shared" si="171"/>
        <v>0.297066450513737</v>
      </c>
      <c r="F422" s="269">
        <f ca="1" t="shared" si="187"/>
        <v>476.36480702308</v>
      </c>
      <c r="G422" s="283">
        <f ca="1" t="shared" si="188"/>
        <v>141.512002372007</v>
      </c>
      <c r="H422" s="279">
        <f ca="1" t="shared" si="189"/>
        <v>0.173476128471776</v>
      </c>
      <c r="I422" s="269">
        <f ca="1">SUM($J$125:J422)/SUM($H$125:H422)</f>
        <v>0.541892024154774</v>
      </c>
      <c r="J422" s="284">
        <f t="shared" si="195"/>
        <v>0.0771886446371468</v>
      </c>
      <c r="K422" s="19">
        <f t="shared" si="197"/>
        <v>30800</v>
      </c>
      <c r="L422" s="269">
        <f t="shared" si="190"/>
        <v>2.53999999999997</v>
      </c>
      <c r="M422" s="226">
        <f ca="1" t="shared" si="191"/>
        <v>81.3119999999999</v>
      </c>
      <c r="N422" s="280">
        <f ca="1" t="shared" si="196"/>
        <v>0.0962874838346011</v>
      </c>
      <c r="O422" s="226">
        <f t="shared" si="200"/>
        <v>26.4</v>
      </c>
      <c r="P422" s="19">
        <f ca="1" t="shared" si="165"/>
        <v>21.8</v>
      </c>
      <c r="Q422" s="226">
        <f ca="1" t="shared" si="199"/>
        <v>3.08</v>
      </c>
      <c r="R422" s="269">
        <f ca="1" t="shared" si="172"/>
        <v>0.688849964563393</v>
      </c>
      <c r="S422" s="266">
        <f ca="1" t="shared" si="173"/>
        <v>64.7139305129549</v>
      </c>
      <c r="T422" s="226">
        <f ca="1">(1+OFFSET('玩法产出(新)'!$C$18,MATCH(X422,'玩法产出(新)'!$B$19:$B$25,0),1)*(1-V422)+OFFSET('玩法产出(新)'!$C$18,1+MATCH(X422,'玩法产出(新)'!$B$19:$B$25,0),1)*(V422))^AA422*(1+OFFSET('玩法产出(新)'!$C$18,MATCH(X422,'玩法产出(新)'!$B$19:$B$25,0),3)*(1-V422)+OFFSET('玩法产出(新)'!$C$18,1+MATCH(X422,'玩法产出(新)'!$B$19:$B$25,0),3)*(V422))^AB422*(1+OFFSET('玩法产出(新)'!$C$18,MATCH(X422,'玩法产出(新)'!$B$19:$B$25,0),4)*(1-V422)+OFFSET('玩法产出(新)'!$C$18,1+MATCH(X422,'玩法产出(新)'!$B$19:$B$25,0),4)*(V422))^AC422*(1+OFFSET('玩法产出(新)'!$C$18,MATCH(X422,'玩法产出(新)'!$B$19:$B$25,0),5)*(1+V422)+OFFSET('玩法产出(新)'!$C$18,1+MATCH(X422,'玩法产出(新)'!$B$19:$B$25,5),1)*(V422))^AD422*(1+OFFSET('玩法产出(新)'!$C$18,MATCH(X422,'玩法产出(新)'!$B$19:$B$25,0),6)*(1+V422)+OFFSET('玩法产出(新)'!$C$18,1+MATCH(X422,'玩法产出(新)'!$B$19:$B$25,0),6)*(V422))^AE422</f>
        <v>79.7149443649736</v>
      </c>
      <c r="U422" s="226">
        <f ca="1" t="shared" si="192"/>
        <v>0.123590322041989</v>
      </c>
      <c r="V422" s="226">
        <f ca="1">COUNTIF($X$124:$X422,X422)/(COUNTIF($X$124:$X$723,X422)+1)</f>
        <v>0.377319587628866</v>
      </c>
      <c r="W422" s="19">
        <v>30</v>
      </c>
      <c r="X422" s="19" t="s">
        <v>326</v>
      </c>
      <c r="Y422" s="19">
        <f t="shared" si="198"/>
        <v>31060</v>
      </c>
      <c r="Z422" s="19">
        <f ca="1" t="shared" si="174"/>
        <v>0.638457778608248</v>
      </c>
      <c r="AA422" s="282">
        <f ca="1" t="shared" si="175"/>
        <v>3.646396875</v>
      </c>
      <c r="AB422" s="282">
        <f ca="1" t="shared" si="176"/>
        <v>18</v>
      </c>
      <c r="AC422" s="282">
        <f ca="1" t="shared" si="177"/>
        <v>6.36465</v>
      </c>
      <c r="AD422" s="282">
        <f ca="1" t="shared" si="178"/>
        <v>1.5911625</v>
      </c>
      <c r="AE422" s="282">
        <f ca="1" t="shared" si="179"/>
        <v>0.397790625</v>
      </c>
      <c r="AF422" s="19" t="str">
        <f t="shared" si="180"/>
        <v>彩1</v>
      </c>
      <c r="AG422" s="19">
        <f>IFERROR(_xlfn.XLOOKUP(C422+1,[2]基因升级!$E$141:$E$500,[2]基因升级!$D$141:$D$500)-1,AG421)</f>
        <v>100</v>
      </c>
      <c r="AH422" s="19">
        <v>7</v>
      </c>
      <c r="AI422" s="19">
        <f t="shared" si="181"/>
        <v>9.2039189417803</v>
      </c>
      <c r="AJ422" s="19">
        <f t="shared" si="193"/>
        <v>0</v>
      </c>
      <c r="AK422" s="269">
        <v>1.864</v>
      </c>
      <c r="AL422" s="287">
        <f t="shared" si="201"/>
        <v>13.5999999999999</v>
      </c>
      <c r="AM422" s="287">
        <f t="shared" si="202"/>
        <v>9.99999999999996</v>
      </c>
      <c r="AN422" s="287">
        <f t="shared" si="164"/>
        <v>6.4</v>
      </c>
      <c r="AO422" s="293"/>
      <c r="AQ422" s="19">
        <f t="shared" si="182"/>
        <v>2.50968593356204</v>
      </c>
      <c r="AR422" s="19">
        <f t="shared" si="183"/>
        <v>1.96715135728956</v>
      </c>
      <c r="AS422" s="19">
        <f t="shared" si="184"/>
        <v>1.54189988904063</v>
      </c>
      <c r="AT422" s="19">
        <f t="shared" si="185"/>
        <v>1</v>
      </c>
      <c r="AU422" s="19">
        <f t="shared" si="186"/>
        <v>1</v>
      </c>
      <c r="AV422" s="232">
        <f t="shared" si="166"/>
        <v>0.0399999999999991</v>
      </c>
      <c r="AW422" s="232">
        <f t="shared" si="167"/>
        <v>0.0399999999999991</v>
      </c>
      <c r="AX422" s="232">
        <f t="shared" si="168"/>
        <v>0.04</v>
      </c>
      <c r="AY422" s="232">
        <f t="shared" si="169"/>
        <v>0</v>
      </c>
      <c r="AZ422" s="232">
        <f t="shared" si="170"/>
        <v>0</v>
      </c>
    </row>
    <row r="423" spans="1:52">
      <c r="A423" s="279"/>
      <c r="C423" s="19">
        <v>300</v>
      </c>
      <c r="D423" s="86">
        <f ca="1" t="shared" si="194"/>
        <v>212.714766031901</v>
      </c>
      <c r="E423" s="251">
        <f ca="1" t="shared" si="171"/>
        <v>3.30558079155811</v>
      </c>
      <c r="F423" s="269">
        <f ca="1" t="shared" si="187"/>
        <v>43.7725953338762</v>
      </c>
      <c r="G423" s="283">
        <f ca="1" t="shared" si="188"/>
        <v>144.693850332308</v>
      </c>
      <c r="H423" s="279">
        <f ca="1" t="shared" si="189"/>
        <v>3.18184796030013</v>
      </c>
      <c r="I423" s="269">
        <f ca="1">SUM($J$125:J423)/SUM($H$125:H423)</f>
        <v>0.529662494300973</v>
      </c>
      <c r="J423" s="284">
        <f t="shared" si="195"/>
        <v>0.0769755679974651</v>
      </c>
      <c r="K423" s="19">
        <f t="shared" si="197"/>
        <v>30900</v>
      </c>
      <c r="L423" s="269">
        <f t="shared" si="190"/>
        <v>2.54499999999997</v>
      </c>
      <c r="M423" s="226">
        <f ca="1" t="shared" si="191"/>
        <v>100.32</v>
      </c>
      <c r="N423" s="280">
        <f ca="1" t="shared" si="196"/>
        <v>3.10487239230266</v>
      </c>
      <c r="O423" s="226">
        <f t="shared" si="200"/>
        <v>52.8</v>
      </c>
      <c r="P423" s="19">
        <f ca="1" t="shared" si="165"/>
        <v>10</v>
      </c>
      <c r="Q423" s="226">
        <f ca="1" t="shared" si="199"/>
        <v>1.9</v>
      </c>
      <c r="R423" s="269">
        <f ca="1" t="shared" si="172"/>
        <v>0.6901670435254</v>
      </c>
      <c r="S423" s="266">
        <f ca="1" t="shared" si="173"/>
        <v>64.8376633442129</v>
      </c>
      <c r="T423" s="226">
        <f ca="1">(1+OFFSET('玩法产出(新)'!$C$18,MATCH(X423,'玩法产出(新)'!$B$19:$B$25,0),1)*(1-V423)+OFFSET('玩法产出(新)'!$C$18,1+MATCH(X423,'玩法产出(新)'!$B$19:$B$25,0),1)*(V423))^AA423*(1+OFFSET('玩法产出(新)'!$C$18,MATCH(X423,'玩法产出(新)'!$B$19:$B$25,0),3)*(1-V423)+OFFSET('玩法产出(新)'!$C$18,1+MATCH(X423,'玩法产出(新)'!$B$19:$B$25,0),3)*(V423))^AB423*(1+OFFSET('玩法产出(新)'!$C$18,MATCH(X423,'玩法产出(新)'!$B$19:$B$25,0),4)*(1-V423)+OFFSET('玩法产出(新)'!$C$18,1+MATCH(X423,'玩法产出(新)'!$B$19:$B$25,0),4)*(V423))^AC423*(1+OFFSET('玩法产出(新)'!$C$18,MATCH(X423,'玩法产出(新)'!$B$19:$B$25,0),5)*(1+V423)+OFFSET('玩法产出(新)'!$C$18,1+MATCH(X423,'玩法产出(新)'!$B$19:$B$25,5),1)*(V423))^AD423*(1+OFFSET('玩法产出(新)'!$C$18,MATCH(X423,'玩法产出(新)'!$B$19:$B$25,0),6)*(1+V423)+OFFSET('玩法产出(新)'!$C$18,1+MATCH(X423,'玩法产出(新)'!$B$19:$B$25,0),6)*(V423))^AE423</f>
        <v>80.3850868524005</v>
      </c>
      <c r="U423" s="226">
        <f ca="1" t="shared" si="192"/>
        <v>0.12373283125799</v>
      </c>
      <c r="V423" s="226">
        <f ca="1">COUNTIF($X$124:$X423,X423)/(COUNTIF($X$124:$X$723,X423)+1)</f>
        <v>0.379381443298969</v>
      </c>
      <c r="W423" s="19">
        <v>30</v>
      </c>
      <c r="X423" s="19" t="s">
        <v>326</v>
      </c>
      <c r="Y423" s="19">
        <f t="shared" si="198"/>
        <v>31160</v>
      </c>
      <c r="Z423" s="19">
        <f ca="1" t="shared" si="174"/>
        <v>0.633964731958763</v>
      </c>
      <c r="AA423" s="282">
        <f ca="1" t="shared" si="175"/>
        <v>3.61903125</v>
      </c>
      <c r="AB423" s="282">
        <f ca="1" t="shared" si="176"/>
        <v>18</v>
      </c>
      <c r="AC423" s="282">
        <f ca="1" t="shared" si="177"/>
        <v>6.3855</v>
      </c>
      <c r="AD423" s="282">
        <f ca="1" t="shared" si="178"/>
        <v>1.596375</v>
      </c>
      <c r="AE423" s="282">
        <f ca="1" t="shared" si="179"/>
        <v>0.39909375</v>
      </c>
      <c r="AF423" s="19" t="str">
        <f t="shared" si="180"/>
        <v>彩2</v>
      </c>
      <c r="AG423" s="19">
        <f>IFERROR(_xlfn.XLOOKUP(C423+1,[2]基因升级!$E$141:$E$500,[2]基因升级!$D$141:$D$500)-1,AG422)</f>
        <v>100</v>
      </c>
      <c r="AH423" s="19">
        <v>7</v>
      </c>
      <c r="AI423" s="19">
        <f t="shared" si="181"/>
        <v>9.2039189417803</v>
      </c>
      <c r="AJ423" s="19">
        <f t="shared" si="193"/>
        <v>0</v>
      </c>
      <c r="AK423" s="269">
        <v>1.864</v>
      </c>
      <c r="AL423" s="287">
        <f t="shared" si="201"/>
        <v>13.6399999999999</v>
      </c>
      <c r="AM423" s="287">
        <f t="shared" si="202"/>
        <v>10.04</v>
      </c>
      <c r="AN423" s="287">
        <f t="shared" si="164"/>
        <v>6.44</v>
      </c>
      <c r="AO423" s="293"/>
      <c r="AP423" s="86"/>
      <c r="AQ423" s="19">
        <f t="shared" si="182"/>
        <v>2.51648721105002</v>
      </c>
      <c r="AR423" s="19">
        <f t="shared" si="183"/>
        <v>1.97248235989146</v>
      </c>
      <c r="AS423" s="19">
        <f t="shared" si="184"/>
        <v>1.54607845531612</v>
      </c>
      <c r="AT423" s="19">
        <f t="shared" si="185"/>
        <v>1</v>
      </c>
      <c r="AU423" s="19">
        <f t="shared" si="186"/>
        <v>1</v>
      </c>
      <c r="AV423" s="232">
        <f t="shared" si="166"/>
        <v>0.0399999999999991</v>
      </c>
      <c r="AW423" s="232">
        <f t="shared" si="167"/>
        <v>0.0399999999999991</v>
      </c>
      <c r="AX423" s="232">
        <f t="shared" si="168"/>
        <v>0.04</v>
      </c>
      <c r="AY423" s="232">
        <f t="shared" si="169"/>
        <v>0</v>
      </c>
      <c r="AZ423" s="232">
        <f t="shared" si="170"/>
        <v>0</v>
      </c>
    </row>
    <row r="424" spans="1:52">
      <c r="A424" s="279"/>
      <c r="C424" s="19">
        <v>301</v>
      </c>
      <c r="D424" s="86">
        <f ca="1" t="shared" si="194"/>
        <v>213.070171623508</v>
      </c>
      <c r="E424" s="251">
        <f ca="1" t="shared" si="171"/>
        <v>0.35540559160719</v>
      </c>
      <c r="F424" s="269">
        <f ca="1" t="shared" si="187"/>
        <v>407.774621701836</v>
      </c>
      <c r="G424" s="283">
        <f ca="1" t="shared" si="188"/>
        <v>144.925380668339</v>
      </c>
      <c r="H424" s="279">
        <f ca="1" t="shared" si="189"/>
        <v>0.231530336031653</v>
      </c>
      <c r="I424" s="269">
        <f ca="1">SUM($J$125:J424)/SUM($H$125:H424)</f>
        <v>0.529322534450039</v>
      </c>
      <c r="J424" s="284">
        <f t="shared" si="195"/>
        <v>0.0767637229895968</v>
      </c>
      <c r="K424" s="19">
        <f t="shared" si="197"/>
        <v>31000</v>
      </c>
      <c r="L424" s="269">
        <f t="shared" si="190"/>
        <v>2.54999999999997</v>
      </c>
      <c r="M424" s="226">
        <f ca="1" t="shared" si="191"/>
        <v>101.376</v>
      </c>
      <c r="N424" s="280">
        <f ca="1" t="shared" si="196"/>
        <v>0.154766613042057</v>
      </c>
      <c r="O424" s="226">
        <f t="shared" si="200"/>
        <v>52.8</v>
      </c>
      <c r="P424" s="19">
        <f ca="1" t="shared" si="165"/>
        <v>10.2</v>
      </c>
      <c r="Q424" s="226">
        <f ca="1" t="shared" si="199"/>
        <v>1.92</v>
      </c>
      <c r="R424" s="269">
        <f ca="1" t="shared" si="172"/>
        <v>0.691485638528626</v>
      </c>
      <c r="S424" s="266">
        <f ca="1" t="shared" si="173"/>
        <v>64.9615385997885</v>
      </c>
      <c r="T424" s="226">
        <f ca="1">(1+OFFSET('玩法产出(新)'!$C$18,MATCH(X424,'玩法产出(新)'!$B$19:$B$25,0),1)*(1-V424)+OFFSET('玩法产出(新)'!$C$18,1+MATCH(X424,'玩法产出(新)'!$B$19:$B$25,0),1)*(V424))^AA424*(1+OFFSET('玩法产出(新)'!$C$18,MATCH(X424,'玩法产出(新)'!$B$19:$B$25,0),3)*(1-V424)+OFFSET('玩法产出(新)'!$C$18,1+MATCH(X424,'玩法产出(新)'!$B$19:$B$25,0),3)*(V424))^AB424*(1+OFFSET('玩法产出(新)'!$C$18,MATCH(X424,'玩法产出(新)'!$B$19:$B$25,0),4)*(1-V424)+OFFSET('玩法产出(新)'!$C$18,1+MATCH(X424,'玩法产出(新)'!$B$19:$B$25,0),4)*(V424))^AC424*(1+OFFSET('玩法产出(新)'!$C$18,MATCH(X424,'玩法产出(新)'!$B$19:$B$25,0),5)*(1+V424)+OFFSET('玩法产出(新)'!$C$18,1+MATCH(X424,'玩法产出(新)'!$B$19:$B$25,5),1)*(V424))^AD424*(1+OFFSET('玩法产出(新)'!$C$18,MATCH(X424,'玩法产出(新)'!$B$19:$B$25,0),6)*(1+V424)+OFFSET('玩法产出(新)'!$C$18,1+MATCH(X424,'玩法产出(新)'!$B$19:$B$25,0),6)*(V424))^AE424</f>
        <v>81.0616441761966</v>
      </c>
      <c r="U424" s="226">
        <f ca="1" t="shared" si="192"/>
        <v>0.123875255575537</v>
      </c>
      <c r="V424" s="226">
        <f ca="1">COUNTIF($X$124:$X424,X424)/(COUNTIF($X$124:$X$723,X424)+1)</f>
        <v>0.381443298969072</v>
      </c>
      <c r="W424" s="19">
        <v>30</v>
      </c>
      <c r="X424" s="19" t="s">
        <v>326</v>
      </c>
      <c r="Y424" s="19">
        <f t="shared" si="198"/>
        <v>31260</v>
      </c>
      <c r="Z424" s="19">
        <f ca="1" t="shared" si="174"/>
        <v>0.629467171391753</v>
      </c>
      <c r="AA424" s="282">
        <f ca="1" t="shared" si="175"/>
        <v>3.591665625</v>
      </c>
      <c r="AB424" s="282">
        <f ca="1" t="shared" si="176"/>
        <v>18</v>
      </c>
      <c r="AC424" s="282">
        <f ca="1" t="shared" si="177"/>
        <v>6.40635</v>
      </c>
      <c r="AD424" s="282">
        <f ca="1" t="shared" si="178"/>
        <v>1.6015875</v>
      </c>
      <c r="AE424" s="282">
        <f ca="1" t="shared" si="179"/>
        <v>0.400396875</v>
      </c>
      <c r="AF424" s="19" t="str">
        <f t="shared" si="180"/>
        <v>彩2</v>
      </c>
      <c r="AG424" s="19">
        <f>IFERROR(_xlfn.XLOOKUP(C424+1,[2]基因升级!$E$141:$E$500,[2]基因升级!$D$141:$D$500)-1,AG423)</f>
        <v>100</v>
      </c>
      <c r="AH424" s="19">
        <v>7</v>
      </c>
      <c r="AI424" s="19">
        <f t="shared" si="181"/>
        <v>9.2039189417803</v>
      </c>
      <c r="AJ424" s="19">
        <f t="shared" si="193"/>
        <v>0</v>
      </c>
      <c r="AK424" s="269">
        <v>1.864</v>
      </c>
      <c r="AL424" s="287">
        <f t="shared" si="201"/>
        <v>13.6799999999999</v>
      </c>
      <c r="AM424" s="287">
        <f t="shared" si="202"/>
        <v>10.08</v>
      </c>
      <c r="AN424" s="287">
        <f t="shared" si="164"/>
        <v>6.48</v>
      </c>
      <c r="AO424" s="293"/>
      <c r="AP424" s="86"/>
      <c r="AQ424" s="19">
        <f t="shared" si="182"/>
        <v>2.52330692007752</v>
      </c>
      <c r="AR424" s="19">
        <f t="shared" si="183"/>
        <v>1.97782780957118</v>
      </c>
      <c r="AS424" s="19">
        <f t="shared" si="184"/>
        <v>1.55026834555384</v>
      </c>
      <c r="AT424" s="19">
        <f t="shared" si="185"/>
        <v>1</v>
      </c>
      <c r="AU424" s="19">
        <f t="shared" si="186"/>
        <v>1</v>
      </c>
      <c r="AV424" s="232">
        <f t="shared" si="166"/>
        <v>0.0399999999999991</v>
      </c>
      <c r="AW424" s="232">
        <f t="shared" si="167"/>
        <v>0.0399999999999991</v>
      </c>
      <c r="AX424" s="232">
        <f t="shared" si="168"/>
        <v>0.04</v>
      </c>
      <c r="AY424" s="232">
        <f t="shared" si="169"/>
        <v>0</v>
      </c>
      <c r="AZ424" s="232">
        <f t="shared" si="170"/>
        <v>0</v>
      </c>
    </row>
    <row r="425" spans="1:52">
      <c r="A425" s="269"/>
      <c r="C425" s="19">
        <v>302</v>
      </c>
      <c r="D425" s="86">
        <f ca="1" t="shared" si="194"/>
        <v>213.423905102267</v>
      </c>
      <c r="E425" s="251">
        <f ca="1" t="shared" si="171"/>
        <v>0.3537334787582</v>
      </c>
      <c r="F425" s="269">
        <f ca="1" t="shared" si="187"/>
        <v>410.351593130418</v>
      </c>
      <c r="G425" s="283">
        <f ca="1" t="shared" si="188"/>
        <v>145.155096551992</v>
      </c>
      <c r="H425" s="279">
        <f ca="1" t="shared" si="189"/>
        <v>0.229715883652887</v>
      </c>
      <c r="I425" s="269">
        <f ca="1">SUM($J$125:J425)/SUM($H$125:H425)</f>
        <v>0.528989282531888</v>
      </c>
      <c r="J425" s="284">
        <f t="shared" si="195"/>
        <v>0.0765530985647871</v>
      </c>
      <c r="K425" s="19">
        <f t="shared" si="197"/>
        <v>31100</v>
      </c>
      <c r="L425" s="269">
        <f t="shared" si="190"/>
        <v>2.55499999999997</v>
      </c>
      <c r="M425" s="226">
        <f ca="1" t="shared" si="191"/>
        <v>102.432</v>
      </c>
      <c r="N425" s="280">
        <f ca="1" t="shared" si="196"/>
        <v>0.153162785088107</v>
      </c>
      <c r="O425" s="226">
        <f t="shared" si="200"/>
        <v>52.8</v>
      </c>
      <c r="P425" s="19">
        <f ca="1" t="shared" si="165"/>
        <v>10.4</v>
      </c>
      <c r="Q425" s="226">
        <f ca="1" t="shared" si="199"/>
        <v>1.94</v>
      </c>
      <c r="R425" s="269">
        <f ca="1" t="shared" si="172"/>
        <v>0.692805748670544</v>
      </c>
      <c r="S425" s="266">
        <f ca="1" t="shared" si="173"/>
        <v>65.0855561948938</v>
      </c>
      <c r="T425" s="226">
        <f ca="1">(1+OFFSET('玩法产出(新)'!$C$18,MATCH(X425,'玩法产出(新)'!$B$19:$B$25,0),1)*(1-V425)+OFFSET('玩法产出(新)'!$C$18,1+MATCH(X425,'玩法产出(新)'!$B$19:$B$25,0),1)*(V425))^AA425*(1+OFFSET('玩法产出(新)'!$C$18,MATCH(X425,'玩法产出(新)'!$B$19:$B$25,0),3)*(1-V425)+OFFSET('玩法产出(新)'!$C$18,1+MATCH(X425,'玩法产出(新)'!$B$19:$B$25,0),3)*(V425))^AB425*(1+OFFSET('玩法产出(新)'!$C$18,MATCH(X425,'玩法产出(新)'!$B$19:$B$25,0),4)*(1-V425)+OFFSET('玩法产出(新)'!$C$18,1+MATCH(X425,'玩法产出(新)'!$B$19:$B$25,0),4)*(V425))^AC425*(1+OFFSET('玩法产出(新)'!$C$18,MATCH(X425,'玩法产出(新)'!$B$19:$B$25,0),5)*(1+V425)+OFFSET('玩法产出(新)'!$C$18,1+MATCH(X425,'玩法产出(新)'!$B$19:$B$25,5),1)*(V425))^AD425*(1+OFFSET('玩法产出(新)'!$C$18,MATCH(X425,'玩法产出(新)'!$B$19:$B$25,0),6)*(1+V425)+OFFSET('玩法产出(新)'!$C$18,1+MATCH(X425,'玩法产出(新)'!$B$19:$B$25,0),6)*(V425))^AE425</f>
        <v>81.7446829514606</v>
      </c>
      <c r="U425" s="226">
        <f ca="1" t="shared" si="192"/>
        <v>0.124017595105306</v>
      </c>
      <c r="V425" s="226">
        <f ca="1">COUNTIF($X$124:$X425,X425)/(COUNTIF($X$124:$X$723,X425)+1)</f>
        <v>0.383505154639175</v>
      </c>
      <c r="W425" s="19">
        <v>30</v>
      </c>
      <c r="X425" s="19" t="s">
        <v>326</v>
      </c>
      <c r="Y425" s="19">
        <f t="shared" si="198"/>
        <v>31360</v>
      </c>
      <c r="Z425" s="19">
        <f ca="1" t="shared" si="174"/>
        <v>0.624965096907216</v>
      </c>
      <c r="AA425" s="282">
        <f ca="1" t="shared" si="175"/>
        <v>3.5643</v>
      </c>
      <c r="AB425" s="282">
        <f ca="1" t="shared" si="176"/>
        <v>18</v>
      </c>
      <c r="AC425" s="282">
        <f ca="1" t="shared" si="177"/>
        <v>6.4272</v>
      </c>
      <c r="AD425" s="282">
        <f ca="1" t="shared" si="178"/>
        <v>1.6068</v>
      </c>
      <c r="AE425" s="282">
        <f ca="1" t="shared" si="179"/>
        <v>0.4017</v>
      </c>
      <c r="AF425" s="19" t="str">
        <f t="shared" si="180"/>
        <v>彩2</v>
      </c>
      <c r="AG425" s="19">
        <f>IFERROR(_xlfn.XLOOKUP(C425+1,[2]基因升级!$E$141:$E$500,[2]基因升级!$D$141:$D$500)-1,AG424)</f>
        <v>100</v>
      </c>
      <c r="AH425" s="19">
        <v>7</v>
      </c>
      <c r="AI425" s="19">
        <f t="shared" si="181"/>
        <v>9.2039189417803</v>
      </c>
      <c r="AJ425" s="19">
        <f t="shared" si="193"/>
        <v>0</v>
      </c>
      <c r="AK425" s="269">
        <v>1.864</v>
      </c>
      <c r="AL425" s="287">
        <f t="shared" si="201"/>
        <v>13.7199999999999</v>
      </c>
      <c r="AM425" s="287">
        <f t="shared" si="202"/>
        <v>10.12</v>
      </c>
      <c r="AN425" s="287">
        <f t="shared" si="164"/>
        <v>6.52</v>
      </c>
      <c r="AO425" s="293"/>
      <c r="AP425" s="86"/>
      <c r="AQ425" s="19">
        <f t="shared" si="182"/>
        <v>2.53014511059422</v>
      </c>
      <c r="AR425" s="19">
        <f t="shared" si="183"/>
        <v>1.98318774548047</v>
      </c>
      <c r="AS425" s="19">
        <f t="shared" si="184"/>
        <v>1.55446959044187</v>
      </c>
      <c r="AT425" s="19">
        <f t="shared" si="185"/>
        <v>1</v>
      </c>
      <c r="AU425" s="19">
        <f t="shared" si="186"/>
        <v>1</v>
      </c>
      <c r="AV425" s="232">
        <f t="shared" si="166"/>
        <v>0.0399999999999991</v>
      </c>
      <c r="AW425" s="232">
        <f t="shared" si="167"/>
        <v>0.0399999999999991</v>
      </c>
      <c r="AX425" s="232">
        <f t="shared" si="168"/>
        <v>0.04</v>
      </c>
      <c r="AY425" s="232">
        <f t="shared" si="169"/>
        <v>0</v>
      </c>
      <c r="AZ425" s="232">
        <f t="shared" si="170"/>
        <v>0</v>
      </c>
    </row>
    <row r="426" spans="1:52">
      <c r="A426" s="269"/>
      <c r="C426" s="19">
        <v>303</v>
      </c>
      <c r="D426" s="86">
        <f ca="1" t="shared" si="194"/>
        <v>213.776000493077</v>
      </c>
      <c r="E426" s="251">
        <f ca="1" t="shared" si="171"/>
        <v>0.352095390810444</v>
      </c>
      <c r="F426" s="269">
        <f ca="1" t="shared" si="187"/>
        <v>412.908080841973</v>
      </c>
      <c r="G426" s="283">
        <f ca="1" t="shared" si="188"/>
        <v>145.383032092845</v>
      </c>
      <c r="H426" s="279">
        <f ca="1" t="shared" si="189"/>
        <v>0.227935540852684</v>
      </c>
      <c r="I426" s="269">
        <f ca="1">SUM($J$125:J426)/SUM($H$125:H426)</f>
        <v>0.52866256674095</v>
      </c>
      <c r="J426" s="284">
        <f t="shared" si="195"/>
        <v>0.076343683809327</v>
      </c>
      <c r="K426" s="19">
        <f t="shared" si="197"/>
        <v>31200</v>
      </c>
      <c r="L426" s="269">
        <f t="shared" si="190"/>
        <v>2.55999999999997</v>
      </c>
      <c r="M426" s="226">
        <f ca="1" t="shared" si="191"/>
        <v>103.488</v>
      </c>
      <c r="N426" s="280">
        <f ca="1" t="shared" si="196"/>
        <v>0.15159185704335</v>
      </c>
      <c r="O426" s="226">
        <f t="shared" si="200"/>
        <v>52.8</v>
      </c>
      <c r="P426" s="19">
        <f ca="1" t="shared" si="165"/>
        <v>10.6</v>
      </c>
      <c r="Q426" s="226">
        <f ca="1" t="shared" si="199"/>
        <v>1.96</v>
      </c>
      <c r="R426" s="269">
        <f ca="1" t="shared" si="172"/>
        <v>0.694127373049803</v>
      </c>
      <c r="S426" s="266">
        <f ca="1" t="shared" si="173"/>
        <v>65.2097160448515</v>
      </c>
      <c r="T426" s="226">
        <f ca="1">(1+OFFSET('玩法产出(新)'!$C$18,MATCH(X426,'玩法产出(新)'!$B$19:$B$25,0),1)*(1-V426)+OFFSET('玩法产出(新)'!$C$18,1+MATCH(X426,'玩法产出(新)'!$B$19:$B$25,0),1)*(V426))^AA426*(1+OFFSET('玩法产出(新)'!$C$18,MATCH(X426,'玩法产出(新)'!$B$19:$B$25,0),3)*(1-V426)+OFFSET('玩法产出(新)'!$C$18,1+MATCH(X426,'玩法产出(新)'!$B$19:$B$25,0),3)*(V426))^AB426*(1+OFFSET('玩法产出(新)'!$C$18,MATCH(X426,'玩法产出(新)'!$B$19:$B$25,0),4)*(1-V426)+OFFSET('玩法产出(新)'!$C$18,1+MATCH(X426,'玩法产出(新)'!$B$19:$B$25,0),4)*(V426))^AC426*(1+OFFSET('玩法产出(新)'!$C$18,MATCH(X426,'玩法产出(新)'!$B$19:$B$25,0),5)*(1+V426)+OFFSET('玩法产出(新)'!$C$18,1+MATCH(X426,'玩法产出(新)'!$B$19:$B$25,5),1)*(V426))^AD426*(1+OFFSET('玩法产出(新)'!$C$18,MATCH(X426,'玩法产出(新)'!$B$19:$B$25,0),6)*(1+V426)+OFFSET('玩法产出(新)'!$C$18,1+MATCH(X426,'玩法产出(新)'!$B$19:$B$25,0),6)*(V426))^AE426</f>
        <v>82.4342705311934</v>
      </c>
      <c r="U426" s="226">
        <f ca="1" t="shared" si="192"/>
        <v>0.124159849957767</v>
      </c>
      <c r="V426" s="226">
        <f ca="1">COUNTIF($X$124:$X426,X426)/(COUNTIF($X$124:$X$723,X426)+1)</f>
        <v>0.385567010309278</v>
      </c>
      <c r="W426" s="19">
        <v>30</v>
      </c>
      <c r="X426" s="19" t="s">
        <v>326</v>
      </c>
      <c r="Y426" s="19">
        <f t="shared" si="198"/>
        <v>31460</v>
      </c>
      <c r="Z426" s="19">
        <f ca="1" t="shared" si="174"/>
        <v>0.620458508505154</v>
      </c>
      <c r="AA426" s="282">
        <f ca="1" t="shared" si="175"/>
        <v>3.536934375</v>
      </c>
      <c r="AB426" s="282">
        <f ca="1" t="shared" si="176"/>
        <v>18</v>
      </c>
      <c r="AC426" s="282">
        <f ca="1" t="shared" si="177"/>
        <v>6.44805</v>
      </c>
      <c r="AD426" s="282">
        <f ca="1" t="shared" si="178"/>
        <v>1.6120125</v>
      </c>
      <c r="AE426" s="282">
        <f ca="1" t="shared" si="179"/>
        <v>0.403003125</v>
      </c>
      <c r="AF426" s="19" t="str">
        <f t="shared" si="180"/>
        <v>彩2</v>
      </c>
      <c r="AG426" s="19">
        <f>IFERROR(_xlfn.XLOOKUP(C426+1,[2]基因升级!$E$141:$E$500,[2]基因升级!$D$141:$D$500)-1,AG425)</f>
        <v>100</v>
      </c>
      <c r="AH426" s="19">
        <v>7</v>
      </c>
      <c r="AI426" s="19">
        <f t="shared" si="181"/>
        <v>9.2039189417803</v>
      </c>
      <c r="AJ426" s="19">
        <f t="shared" si="193"/>
        <v>0</v>
      </c>
      <c r="AK426" s="269">
        <v>1.864</v>
      </c>
      <c r="AL426" s="287">
        <f t="shared" si="201"/>
        <v>13.7599999999999</v>
      </c>
      <c r="AM426" s="287">
        <f t="shared" si="202"/>
        <v>10.16</v>
      </c>
      <c r="AN426" s="287">
        <f t="shared" si="164"/>
        <v>6.56</v>
      </c>
      <c r="AO426" s="293"/>
      <c r="AP426" s="86"/>
      <c r="AQ426" s="19">
        <f t="shared" si="182"/>
        <v>2.53700183268516</v>
      </c>
      <c r="AR426" s="19">
        <f t="shared" si="183"/>
        <v>1.98856220687717</v>
      </c>
      <c r="AS426" s="19">
        <f t="shared" si="184"/>
        <v>1.55868222075144</v>
      </c>
      <c r="AT426" s="19">
        <f t="shared" si="185"/>
        <v>1</v>
      </c>
      <c r="AU426" s="19">
        <f t="shared" si="186"/>
        <v>1</v>
      </c>
      <c r="AV426" s="232">
        <f t="shared" si="166"/>
        <v>0.0399999999999991</v>
      </c>
      <c r="AW426" s="232">
        <f t="shared" si="167"/>
        <v>0.0399999999999991</v>
      </c>
      <c r="AX426" s="232">
        <f t="shared" si="168"/>
        <v>0.04</v>
      </c>
      <c r="AY426" s="232">
        <f t="shared" si="169"/>
        <v>0</v>
      </c>
      <c r="AZ426" s="232">
        <f t="shared" si="170"/>
        <v>0</v>
      </c>
    </row>
    <row r="427" spans="1:52">
      <c r="A427" s="269"/>
      <c r="C427" s="19">
        <v>304</v>
      </c>
      <c r="D427" s="86">
        <f ca="1" t="shared" si="194"/>
        <v>214.126490808108</v>
      </c>
      <c r="E427" s="251">
        <f ca="1" t="shared" si="171"/>
        <v>0.350490315031123</v>
      </c>
      <c r="F427" s="269">
        <f ca="1" t="shared" si="187"/>
        <v>415.444347940693</v>
      </c>
      <c r="G427" s="283">
        <f ca="1" t="shared" si="188"/>
        <v>145.609220387633</v>
      </c>
      <c r="H427" s="279">
        <f ca="1" t="shared" si="189"/>
        <v>0.22618829478796</v>
      </c>
      <c r="I427" s="269">
        <f ca="1">SUM($J$125:J427)/SUM($H$125:H427)</f>
        <v>0.528342221144814</v>
      </c>
      <c r="J427" s="284">
        <f t="shared" si="195"/>
        <v>0.0761354679428052</v>
      </c>
      <c r="K427" s="19">
        <f t="shared" si="197"/>
        <v>31300</v>
      </c>
      <c r="L427" s="269">
        <f t="shared" si="190"/>
        <v>2.56499999999997</v>
      </c>
      <c r="M427" s="226">
        <f ca="1" t="shared" si="191"/>
        <v>104.544</v>
      </c>
      <c r="N427" s="280">
        <f ca="1" t="shared" si="196"/>
        <v>0.150052826845148</v>
      </c>
      <c r="O427" s="226">
        <f t="shared" si="200"/>
        <v>52.8</v>
      </c>
      <c r="P427" s="19">
        <f ca="1" t="shared" si="165"/>
        <v>10.8</v>
      </c>
      <c r="Q427" s="226">
        <f ca="1" t="shared" si="199"/>
        <v>1.98</v>
      </c>
      <c r="R427" s="269">
        <f ca="1" t="shared" si="172"/>
        <v>0.695450510766226</v>
      </c>
      <c r="S427" s="266">
        <f ca="1" t="shared" si="173"/>
        <v>65.3340180650947</v>
      </c>
      <c r="T427" s="226">
        <f ca="1">(1+OFFSET('玩法产出(新)'!$C$18,MATCH(X427,'玩法产出(新)'!$B$19:$B$25,0),1)*(1-V427)+OFFSET('玩法产出(新)'!$C$18,1+MATCH(X427,'玩法产出(新)'!$B$19:$B$25,0),1)*(V427))^AA427*(1+OFFSET('玩法产出(新)'!$C$18,MATCH(X427,'玩法产出(新)'!$B$19:$B$25,0),3)*(1-V427)+OFFSET('玩法产出(新)'!$C$18,1+MATCH(X427,'玩法产出(新)'!$B$19:$B$25,0),3)*(V427))^AB427*(1+OFFSET('玩法产出(新)'!$C$18,MATCH(X427,'玩法产出(新)'!$B$19:$B$25,0),4)*(1-V427)+OFFSET('玩法产出(新)'!$C$18,1+MATCH(X427,'玩法产出(新)'!$B$19:$B$25,0),4)*(V427))^AC427*(1+OFFSET('玩法产出(新)'!$C$18,MATCH(X427,'玩法产出(新)'!$B$19:$B$25,0),5)*(1+V427)+OFFSET('玩法产出(新)'!$C$18,1+MATCH(X427,'玩法产出(新)'!$B$19:$B$25,5),1)*(V427))^AD427*(1+OFFSET('玩法产出(新)'!$C$18,MATCH(X427,'玩法产出(新)'!$B$19:$B$25,0),6)*(1+V427)+OFFSET('玩法产出(新)'!$C$18,1+MATCH(X427,'玩法产出(新)'!$B$19:$B$25,0),6)*(V427))^AE427</f>
        <v>83.1304750149155</v>
      </c>
      <c r="U427" s="226">
        <f ca="1" t="shared" si="192"/>
        <v>0.12430202024317</v>
      </c>
      <c r="V427" s="226">
        <f ca="1">COUNTIF($X$124:$X427,X427)/(COUNTIF($X$124:$X$723,X427)+1)</f>
        <v>0.387628865979381</v>
      </c>
      <c r="W427" s="19">
        <v>30</v>
      </c>
      <c r="X427" s="19" t="s">
        <v>326</v>
      </c>
      <c r="Y427" s="19">
        <f t="shared" si="198"/>
        <v>31560</v>
      </c>
      <c r="Z427" s="19">
        <f ca="1" t="shared" si="174"/>
        <v>0.615947406185567</v>
      </c>
      <c r="AA427" s="282">
        <f ca="1" t="shared" si="175"/>
        <v>3.50956875</v>
      </c>
      <c r="AB427" s="282">
        <f ca="1" t="shared" si="176"/>
        <v>18</v>
      </c>
      <c r="AC427" s="282">
        <f ca="1" t="shared" si="177"/>
        <v>6.4689</v>
      </c>
      <c r="AD427" s="282">
        <f ca="1" t="shared" si="178"/>
        <v>1.617225</v>
      </c>
      <c r="AE427" s="282">
        <f ca="1" t="shared" si="179"/>
        <v>0.40430625</v>
      </c>
      <c r="AF427" s="19" t="str">
        <f t="shared" si="180"/>
        <v>彩2</v>
      </c>
      <c r="AG427" s="19">
        <f>IFERROR(_xlfn.XLOOKUP(C427+1,[2]基因升级!$E$141:$E$500,[2]基因升级!$D$141:$D$500)-1,AG426)</f>
        <v>100</v>
      </c>
      <c r="AH427" s="19">
        <v>7</v>
      </c>
      <c r="AI427" s="19">
        <f t="shared" si="181"/>
        <v>9.2039189417803</v>
      </c>
      <c r="AJ427" s="19">
        <f t="shared" si="193"/>
        <v>0</v>
      </c>
      <c r="AK427" s="269">
        <v>1.864</v>
      </c>
      <c r="AL427" s="287">
        <f t="shared" si="201"/>
        <v>13.7999999999999</v>
      </c>
      <c r="AM427" s="287">
        <f t="shared" si="202"/>
        <v>10.2</v>
      </c>
      <c r="AN427" s="287">
        <f t="shared" ref="AN427:AN490" si="203">AM337</f>
        <v>6.6</v>
      </c>
      <c r="AO427" s="293"/>
      <c r="AP427" s="86"/>
      <c r="AQ427" s="19">
        <f t="shared" si="182"/>
        <v>2.54387713657114</v>
      </c>
      <c r="AR427" s="19">
        <f t="shared" si="183"/>
        <v>1.99395123312551</v>
      </c>
      <c r="AS427" s="19">
        <f t="shared" si="184"/>
        <v>1.56290626733716</v>
      </c>
      <c r="AT427" s="19">
        <f t="shared" si="185"/>
        <v>1</v>
      </c>
      <c r="AU427" s="19">
        <f t="shared" si="186"/>
        <v>1</v>
      </c>
      <c r="AV427" s="232">
        <f t="shared" si="166"/>
        <v>0.0399999999999991</v>
      </c>
      <c r="AW427" s="232">
        <f t="shared" si="167"/>
        <v>0.0399999999999991</v>
      </c>
      <c r="AX427" s="232">
        <f t="shared" si="168"/>
        <v>0.04</v>
      </c>
      <c r="AY427" s="232">
        <f t="shared" si="169"/>
        <v>0</v>
      </c>
      <c r="AZ427" s="232">
        <f t="shared" si="170"/>
        <v>0</v>
      </c>
    </row>
    <row r="428" spans="1:52">
      <c r="A428" s="269"/>
      <c r="C428" s="19">
        <v>305</v>
      </c>
      <c r="D428" s="86">
        <f ca="1" t="shared" si="194"/>
        <v>214.475408087212</v>
      </c>
      <c r="E428" s="251">
        <f ca="1" t="shared" si="171"/>
        <v>0.348917279103799</v>
      </c>
      <c r="F428" s="269">
        <f ca="1" t="shared" si="187"/>
        <v>417.960652264748</v>
      </c>
      <c r="G428" s="283">
        <f ca="1" t="shared" si="188"/>
        <v>145.833693560665</v>
      </c>
      <c r="H428" s="279">
        <f ca="1" t="shared" si="189"/>
        <v>0.224473173032322</v>
      </c>
      <c r="I428" s="269">
        <f ca="1">SUM($J$125:J428)/SUM($H$125:H428)</f>
        <v>0.528028085429345</v>
      </c>
      <c r="J428" s="284">
        <f t="shared" si="195"/>
        <v>0.0759284403158773</v>
      </c>
      <c r="K428" s="19">
        <f t="shared" si="197"/>
        <v>31400</v>
      </c>
      <c r="L428" s="269">
        <f t="shared" si="190"/>
        <v>2.56999999999997</v>
      </c>
      <c r="M428" s="226">
        <f ca="1" t="shared" si="191"/>
        <v>105.6</v>
      </c>
      <c r="N428" s="280">
        <f ca="1" t="shared" si="196"/>
        <v>0.148544732716488</v>
      </c>
      <c r="O428" s="226">
        <f t="shared" si="200"/>
        <v>52.8</v>
      </c>
      <c r="P428" s="19">
        <f ca="1" t="shared" si="165"/>
        <v>11</v>
      </c>
      <c r="Q428" s="226">
        <f ca="1" t="shared" si="199"/>
        <v>2</v>
      </c>
      <c r="R428" s="269">
        <f ca="1" t="shared" si="172"/>
        <v>0.696775160920806</v>
      </c>
      <c r="S428" s="266">
        <f ca="1" t="shared" si="173"/>
        <v>65.4584621711661</v>
      </c>
      <c r="T428" s="226">
        <f ca="1">(1+OFFSET('玩法产出(新)'!$C$18,MATCH(X428,'玩法产出(新)'!$B$19:$B$25,0),1)*(1-V428)+OFFSET('玩法产出(新)'!$C$18,1+MATCH(X428,'玩法产出(新)'!$B$19:$B$25,0),1)*(V428))^AA428*(1+OFFSET('玩法产出(新)'!$C$18,MATCH(X428,'玩法产出(新)'!$B$19:$B$25,0),3)*(1-V428)+OFFSET('玩法产出(新)'!$C$18,1+MATCH(X428,'玩法产出(新)'!$B$19:$B$25,0),3)*(V428))^AB428*(1+OFFSET('玩法产出(新)'!$C$18,MATCH(X428,'玩法产出(新)'!$B$19:$B$25,0),4)*(1-V428)+OFFSET('玩法产出(新)'!$C$18,1+MATCH(X428,'玩法产出(新)'!$B$19:$B$25,0),4)*(V428))^AC428*(1+OFFSET('玩法产出(新)'!$C$18,MATCH(X428,'玩法产出(新)'!$B$19:$B$25,0),5)*(1+V428)+OFFSET('玩法产出(新)'!$C$18,1+MATCH(X428,'玩法产出(新)'!$B$19:$B$25,5),1)*(V428))^AD428*(1+OFFSET('玩法产出(新)'!$C$18,MATCH(X428,'玩法产出(新)'!$B$19:$B$25,0),6)*(1+V428)+OFFSET('玩法产出(新)'!$C$18,1+MATCH(X428,'玩法产出(新)'!$B$19:$B$25,0),6)*(V428))^AE428</f>
        <v>83.8333652573875</v>
      </c>
      <c r="U428" s="226">
        <f ca="1" t="shared" si="192"/>
        <v>0.124444106071434</v>
      </c>
      <c r="V428" s="226">
        <f ca="1">COUNTIF($X$124:$X428,X428)/(COUNTIF($X$124:$X$723,X428)+1)</f>
        <v>0.389690721649485</v>
      </c>
      <c r="W428" s="19">
        <v>30</v>
      </c>
      <c r="X428" s="19" t="s">
        <v>326</v>
      </c>
      <c r="Y428" s="19">
        <f t="shared" si="198"/>
        <v>31660</v>
      </c>
      <c r="Z428" s="19">
        <f ca="1" t="shared" si="174"/>
        <v>0.611431789948453</v>
      </c>
      <c r="AA428" s="282">
        <f ca="1" t="shared" si="175"/>
        <v>3.482203125</v>
      </c>
      <c r="AB428" s="282">
        <f ca="1" t="shared" si="176"/>
        <v>18</v>
      </c>
      <c r="AC428" s="282">
        <f ca="1" t="shared" si="177"/>
        <v>6.48975</v>
      </c>
      <c r="AD428" s="282">
        <f ca="1" t="shared" si="178"/>
        <v>1.6224375</v>
      </c>
      <c r="AE428" s="282">
        <f ca="1" t="shared" si="179"/>
        <v>0.405609375</v>
      </c>
      <c r="AF428" s="19" t="str">
        <f t="shared" si="180"/>
        <v>彩2</v>
      </c>
      <c r="AG428" s="19">
        <f>IFERROR(_xlfn.XLOOKUP(C428+1,[2]基因升级!$E$141:$E$500,[2]基因升级!$D$141:$D$500)-1,AG427)</f>
        <v>100</v>
      </c>
      <c r="AH428" s="19">
        <v>7</v>
      </c>
      <c r="AI428" s="19">
        <f t="shared" si="181"/>
        <v>9.2039189417803</v>
      </c>
      <c r="AJ428" s="19">
        <f t="shared" si="193"/>
        <v>0</v>
      </c>
      <c r="AK428" s="269">
        <v>1.864</v>
      </c>
      <c r="AL428" s="287">
        <f t="shared" si="201"/>
        <v>13.8399999999999</v>
      </c>
      <c r="AM428" s="287">
        <f t="shared" si="202"/>
        <v>10.24</v>
      </c>
      <c r="AN428" s="287">
        <f t="shared" si="203"/>
        <v>6.64</v>
      </c>
      <c r="AO428" s="293"/>
      <c r="AP428" s="86"/>
      <c r="AQ428" s="19">
        <f t="shared" si="182"/>
        <v>2.55077107260902</v>
      </c>
      <c r="AR428" s="19">
        <f t="shared" si="183"/>
        <v>1.99935486369642</v>
      </c>
      <c r="AS428" s="19">
        <f t="shared" si="184"/>
        <v>1.56714176113729</v>
      </c>
      <c r="AT428" s="19">
        <f t="shared" si="185"/>
        <v>1</v>
      </c>
      <c r="AU428" s="19">
        <f t="shared" si="186"/>
        <v>1</v>
      </c>
      <c r="AV428" s="232">
        <f t="shared" si="166"/>
        <v>0.0399999999999991</v>
      </c>
      <c r="AW428" s="232">
        <f t="shared" si="167"/>
        <v>0.0399999999999991</v>
      </c>
      <c r="AX428" s="232">
        <f t="shared" si="168"/>
        <v>0.04</v>
      </c>
      <c r="AY428" s="232">
        <f t="shared" si="169"/>
        <v>0</v>
      </c>
      <c r="AZ428" s="232">
        <f t="shared" si="170"/>
        <v>0</v>
      </c>
    </row>
    <row r="429" spans="1:52">
      <c r="A429" s="269"/>
      <c r="C429" s="19">
        <v>306</v>
      </c>
      <c r="D429" s="86">
        <f ca="1" t="shared" si="194"/>
        <v>214.822783436334</v>
      </c>
      <c r="E429" s="251">
        <f ca="1" t="shared" si="171"/>
        <v>0.347375349122269</v>
      </c>
      <c r="F429" s="269">
        <f ca="1" t="shared" si="187"/>
        <v>420.457246523921</v>
      </c>
      <c r="G429" s="283">
        <f ca="1" t="shared" si="188"/>
        <v>146.056482802235</v>
      </c>
      <c r="H429" s="279">
        <f ca="1" t="shared" si="189"/>
        <v>0.222789241569814</v>
      </c>
      <c r="I429" s="269">
        <f ca="1">SUM($J$125:J429)/SUM($H$125:H429)</f>
        <v>0.527720004657236</v>
      </c>
      <c r="J429" s="284">
        <f t="shared" si="195"/>
        <v>0.0757225904081338</v>
      </c>
      <c r="K429" s="19">
        <f t="shared" si="197"/>
        <v>31500</v>
      </c>
      <c r="L429" s="269">
        <f t="shared" si="190"/>
        <v>2.57499999999997</v>
      </c>
      <c r="M429" s="226">
        <f ca="1" t="shared" si="191"/>
        <v>106.656</v>
      </c>
      <c r="N429" s="280">
        <f ca="1" t="shared" si="196"/>
        <v>0.147066651161666</v>
      </c>
      <c r="O429" s="226">
        <f t="shared" si="200"/>
        <v>52.8</v>
      </c>
      <c r="P429" s="19">
        <f ca="1" t="shared" si="165"/>
        <v>11.2</v>
      </c>
      <c r="Q429" s="226">
        <f ca="1" t="shared" si="199"/>
        <v>2.02</v>
      </c>
      <c r="R429" s="269">
        <f ca="1" t="shared" si="172"/>
        <v>0.698101322615704</v>
      </c>
      <c r="S429" s="266">
        <f ca="1" t="shared" si="173"/>
        <v>65.5830482787186</v>
      </c>
      <c r="T429" s="226">
        <f ca="1">(1+OFFSET('玩法产出(新)'!$C$18,MATCH(X429,'玩法产出(新)'!$B$19:$B$25,0),1)*(1-V429)+OFFSET('玩法产出(新)'!$C$18,1+MATCH(X429,'玩法产出(新)'!$B$19:$B$25,0),1)*(V429))^AA429*(1+OFFSET('玩法产出(新)'!$C$18,MATCH(X429,'玩法产出(新)'!$B$19:$B$25,0),3)*(1-V429)+OFFSET('玩法产出(新)'!$C$18,1+MATCH(X429,'玩法产出(新)'!$B$19:$B$25,0),3)*(V429))^AB429*(1+OFFSET('玩法产出(新)'!$C$18,MATCH(X429,'玩法产出(新)'!$B$19:$B$25,0),4)*(1-V429)+OFFSET('玩法产出(新)'!$C$18,1+MATCH(X429,'玩法产出(新)'!$B$19:$B$25,0),4)*(V429))^AC429*(1+OFFSET('玩法产出(新)'!$C$18,MATCH(X429,'玩法产出(新)'!$B$19:$B$25,0),5)*(1+V429)+OFFSET('玩法产出(新)'!$C$18,1+MATCH(X429,'玩法产出(新)'!$B$19:$B$25,5),1)*(V429))^AD429*(1+OFFSET('玩法产出(新)'!$C$18,MATCH(X429,'玩法产出(新)'!$B$19:$B$25,0),6)*(1+V429)+OFFSET('玩法产出(新)'!$C$18,1+MATCH(X429,'玩法产出(新)'!$B$19:$B$25,0),6)*(V429))^AE429</f>
        <v>84.5430108774408</v>
      </c>
      <c r="U429" s="226">
        <f ca="1" t="shared" si="192"/>
        <v>0.12458610755247</v>
      </c>
      <c r="V429" s="226">
        <f ca="1">COUNTIF($X$124:$X429,X429)/(COUNTIF($X$124:$X$723,X429)+1)</f>
        <v>0.391752577319588</v>
      </c>
      <c r="W429" s="19">
        <v>30</v>
      </c>
      <c r="X429" s="19" t="s">
        <v>326</v>
      </c>
      <c r="Y429" s="19">
        <f t="shared" si="198"/>
        <v>31760</v>
      </c>
      <c r="Z429" s="19">
        <f ca="1" t="shared" si="174"/>
        <v>0.606911659793814</v>
      </c>
      <c r="AA429" s="282">
        <f ca="1" t="shared" si="175"/>
        <v>3.4548375</v>
      </c>
      <c r="AB429" s="282">
        <f ca="1" t="shared" si="176"/>
        <v>18</v>
      </c>
      <c r="AC429" s="282">
        <f ca="1" t="shared" si="177"/>
        <v>6.5106</v>
      </c>
      <c r="AD429" s="282">
        <f ca="1" t="shared" si="178"/>
        <v>1.62765</v>
      </c>
      <c r="AE429" s="282">
        <f ca="1" t="shared" si="179"/>
        <v>0.4069125</v>
      </c>
      <c r="AF429" s="19" t="str">
        <f t="shared" si="180"/>
        <v>彩2</v>
      </c>
      <c r="AG429" s="19">
        <f>IFERROR(_xlfn.XLOOKUP(C429+1,[2]基因升级!$E$141:$E$500,[2]基因升级!$D$141:$D$500)-1,AG428)</f>
        <v>100</v>
      </c>
      <c r="AH429" s="19">
        <v>7</v>
      </c>
      <c r="AI429" s="19">
        <f t="shared" si="181"/>
        <v>9.2039189417803</v>
      </c>
      <c r="AJ429" s="19">
        <f t="shared" si="193"/>
        <v>0</v>
      </c>
      <c r="AK429" s="269">
        <v>1.864</v>
      </c>
      <c r="AL429" s="287">
        <f t="shared" si="201"/>
        <v>13.8799999999999</v>
      </c>
      <c r="AM429" s="287">
        <f t="shared" si="202"/>
        <v>10.28</v>
      </c>
      <c r="AN429" s="287">
        <f t="shared" si="203"/>
        <v>6.68</v>
      </c>
      <c r="AO429" s="293"/>
      <c r="AP429" s="86"/>
      <c r="AQ429" s="19">
        <f t="shared" si="182"/>
        <v>2.55768369129214</v>
      </c>
      <c r="AR429" s="19">
        <f t="shared" si="183"/>
        <v>2.00477313816778</v>
      </c>
      <c r="AS429" s="19">
        <f t="shared" si="184"/>
        <v>1.57138873317389</v>
      </c>
      <c r="AT429" s="19">
        <f t="shared" si="185"/>
        <v>1</v>
      </c>
      <c r="AU429" s="19">
        <f t="shared" si="186"/>
        <v>1</v>
      </c>
      <c r="AV429" s="232">
        <f t="shared" si="166"/>
        <v>0.0399999999999991</v>
      </c>
      <c r="AW429" s="232">
        <f t="shared" si="167"/>
        <v>0.0399999999999991</v>
      </c>
      <c r="AX429" s="232">
        <f t="shared" si="168"/>
        <v>0.04</v>
      </c>
      <c r="AY429" s="232">
        <f t="shared" si="169"/>
        <v>0</v>
      </c>
      <c r="AZ429" s="232">
        <f t="shared" si="170"/>
        <v>0</v>
      </c>
    </row>
    <row r="430" spans="1:52">
      <c r="A430" s="269"/>
      <c r="C430" s="19">
        <v>307</v>
      </c>
      <c r="D430" s="86">
        <f ca="1" t="shared" si="194"/>
        <v>215.168647064037</v>
      </c>
      <c r="E430" s="251">
        <f ca="1" t="shared" si="171"/>
        <v>0.345863627702678</v>
      </c>
      <c r="F430" s="269">
        <f ca="1" t="shared" si="187"/>
        <v>422.934378433368</v>
      </c>
      <c r="G430" s="283">
        <f ca="1" t="shared" si="188"/>
        <v>146.277618405142</v>
      </c>
      <c r="H430" s="279">
        <f ca="1" t="shared" si="189"/>
        <v>0.221135602906799</v>
      </c>
      <c r="I430" s="269">
        <f ca="1">SUM($J$125:J430)/SUM($H$125:H430)</f>
        <v>0.527417829039175</v>
      </c>
      <c r="J430" s="284">
        <f t="shared" si="195"/>
        <v>0.0755179078264234</v>
      </c>
      <c r="K430" s="19">
        <f t="shared" si="197"/>
        <v>31600</v>
      </c>
      <c r="L430" s="269">
        <f t="shared" si="190"/>
        <v>2.57999999999997</v>
      </c>
      <c r="M430" s="226">
        <f ca="1" t="shared" si="191"/>
        <v>107.712</v>
      </c>
      <c r="N430" s="280">
        <f ca="1" t="shared" si="196"/>
        <v>0.145617695080389</v>
      </c>
      <c r="O430" s="226">
        <f t="shared" si="200"/>
        <v>52.8</v>
      </c>
      <c r="P430" s="19">
        <f ca="1" t="shared" si="165"/>
        <v>11.4</v>
      </c>
      <c r="Q430" s="226">
        <f ca="1" t="shared" si="199"/>
        <v>2.04</v>
      </c>
      <c r="R430" s="269">
        <f ca="1" t="shared" si="172"/>
        <v>0.699428994954251</v>
      </c>
      <c r="S430" s="266">
        <f ca="1" t="shared" si="173"/>
        <v>65.7077763035145</v>
      </c>
      <c r="T430" s="226">
        <f ca="1">(1+OFFSET('玩法产出(新)'!$C$18,MATCH(X430,'玩法产出(新)'!$B$19:$B$25,0),1)*(1-V430)+OFFSET('玩法产出(新)'!$C$18,1+MATCH(X430,'玩法产出(新)'!$B$19:$B$25,0),1)*(V430))^AA430*(1+OFFSET('玩法产出(新)'!$C$18,MATCH(X430,'玩法产出(新)'!$B$19:$B$25,0),3)*(1-V430)+OFFSET('玩法产出(新)'!$C$18,1+MATCH(X430,'玩法产出(新)'!$B$19:$B$25,0),3)*(V430))^AB430*(1+OFFSET('玩法产出(新)'!$C$18,MATCH(X430,'玩法产出(新)'!$B$19:$B$25,0),4)*(1-V430)+OFFSET('玩法产出(新)'!$C$18,1+MATCH(X430,'玩法产出(新)'!$B$19:$B$25,0),4)*(V430))^AC430*(1+OFFSET('玩法产出(新)'!$C$18,MATCH(X430,'玩法产出(新)'!$B$19:$B$25,0),5)*(1+V430)+OFFSET('玩法产出(新)'!$C$18,1+MATCH(X430,'玩法产出(新)'!$B$19:$B$25,5),1)*(V430))^AD430*(1+OFFSET('玩法产出(新)'!$C$18,MATCH(X430,'玩法产出(新)'!$B$19:$B$25,0),6)*(1+V430)+OFFSET('玩法产出(新)'!$C$18,1+MATCH(X430,'玩法产出(新)'!$B$19:$B$25,0),6)*(V430))^AE430</f>
        <v>85.2594822669135</v>
      </c>
      <c r="U430" s="226">
        <f ca="1" t="shared" si="192"/>
        <v>0.124728024795865</v>
      </c>
      <c r="V430" s="226">
        <f ca="1">COUNTIF($X$124:$X430,X430)/(COUNTIF($X$124:$X$723,X430)+1)</f>
        <v>0.393814432989691</v>
      </c>
      <c r="W430" s="19">
        <v>30</v>
      </c>
      <c r="X430" s="19" t="s">
        <v>326</v>
      </c>
      <c r="Y430" s="19">
        <f t="shared" si="198"/>
        <v>31860</v>
      </c>
      <c r="Z430" s="19">
        <f ca="1" t="shared" si="174"/>
        <v>0.602387015721649</v>
      </c>
      <c r="AA430" s="282">
        <f ca="1" t="shared" si="175"/>
        <v>3.427471875</v>
      </c>
      <c r="AB430" s="282">
        <f ca="1" t="shared" si="176"/>
        <v>18</v>
      </c>
      <c r="AC430" s="282">
        <f ca="1" t="shared" si="177"/>
        <v>6.53145</v>
      </c>
      <c r="AD430" s="282">
        <f ca="1" t="shared" si="178"/>
        <v>1.6328625</v>
      </c>
      <c r="AE430" s="282">
        <f ca="1" t="shared" si="179"/>
        <v>0.408215625</v>
      </c>
      <c r="AF430" s="19" t="str">
        <f t="shared" si="180"/>
        <v>彩2</v>
      </c>
      <c r="AG430" s="19">
        <f>IFERROR(_xlfn.XLOOKUP(C430+1,[2]基因升级!$E$141:$E$500,[2]基因升级!$D$141:$D$500)-1,AG429)</f>
        <v>100</v>
      </c>
      <c r="AH430" s="19">
        <v>7</v>
      </c>
      <c r="AI430" s="19">
        <f t="shared" si="181"/>
        <v>9.2039189417803</v>
      </c>
      <c r="AJ430" s="19">
        <f t="shared" si="193"/>
        <v>0</v>
      </c>
      <c r="AK430" s="269">
        <v>1.864</v>
      </c>
      <c r="AL430" s="287">
        <f t="shared" si="201"/>
        <v>13.9199999999999</v>
      </c>
      <c r="AM430" s="287">
        <f t="shared" si="202"/>
        <v>10.32</v>
      </c>
      <c r="AN430" s="287">
        <f t="shared" si="203"/>
        <v>6.72</v>
      </c>
      <c r="AO430" s="293"/>
      <c r="AP430" s="86"/>
      <c r="AQ430" s="19">
        <f t="shared" si="182"/>
        <v>2.56461504325069</v>
      </c>
      <c r="AR430" s="19">
        <f t="shared" si="183"/>
        <v>2.01020609622471</v>
      </c>
      <c r="AS430" s="19">
        <f t="shared" si="184"/>
        <v>1.57564721455312</v>
      </c>
      <c r="AT430" s="19">
        <f t="shared" si="185"/>
        <v>1</v>
      </c>
      <c r="AU430" s="19">
        <f t="shared" si="186"/>
        <v>1</v>
      </c>
      <c r="AV430" s="232">
        <f t="shared" si="166"/>
        <v>0.0399999999999991</v>
      </c>
      <c r="AW430" s="232">
        <f t="shared" si="167"/>
        <v>0.0399999999999991</v>
      </c>
      <c r="AX430" s="232">
        <f t="shared" si="168"/>
        <v>0.04</v>
      </c>
      <c r="AY430" s="232">
        <f t="shared" si="169"/>
        <v>0</v>
      </c>
      <c r="AZ430" s="232">
        <f t="shared" si="170"/>
        <v>0</v>
      </c>
    </row>
    <row r="431" spans="1:52">
      <c r="A431" s="269"/>
      <c r="C431" s="19">
        <v>308</v>
      </c>
      <c r="D431" s="86">
        <f ca="1" t="shared" si="194"/>
        <v>215.513028316243</v>
      </c>
      <c r="E431" s="251">
        <f ca="1" t="shared" si="171"/>
        <v>0.344381252205845</v>
      </c>
      <c r="F431" s="269">
        <f ca="1" t="shared" si="187"/>
        <v>425.392290843614</v>
      </c>
      <c r="G431" s="283">
        <f ca="1" t="shared" si="188"/>
        <v>146.497129799437</v>
      </c>
      <c r="H431" s="279">
        <f ca="1" t="shared" si="189"/>
        <v>0.219511394294983</v>
      </c>
      <c r="I431" s="269">
        <f ca="1">SUM($J$125:J431)/SUM($H$125:H431)</f>
        <v>0.527121413716851</v>
      </c>
      <c r="J431" s="284">
        <f t="shared" si="195"/>
        <v>0.0753143823025937</v>
      </c>
      <c r="K431" s="19">
        <f t="shared" si="197"/>
        <v>31700</v>
      </c>
      <c r="L431" s="269">
        <f t="shared" si="190"/>
        <v>2.58499999999997</v>
      </c>
      <c r="M431" s="226">
        <f ca="1" t="shared" si="191"/>
        <v>108.768</v>
      </c>
      <c r="N431" s="280">
        <f ca="1" t="shared" si="196"/>
        <v>0.144197011992347</v>
      </c>
      <c r="O431" s="226">
        <f t="shared" si="200"/>
        <v>52.8</v>
      </c>
      <c r="P431" s="19">
        <f ca="1" t="shared" si="165"/>
        <v>11.6</v>
      </c>
      <c r="Q431" s="226">
        <f ca="1" t="shared" si="199"/>
        <v>2.06</v>
      </c>
      <c r="R431" s="269">
        <f ca="1" t="shared" si="172"/>
        <v>0.700758177040939</v>
      </c>
      <c r="S431" s="266">
        <f ca="1" t="shared" si="173"/>
        <v>65.8326461614254</v>
      </c>
      <c r="T431" s="226">
        <f ca="1">(1+OFFSET('玩法产出(新)'!$C$18,MATCH(X431,'玩法产出(新)'!$B$19:$B$25,0),1)*(1-V431)+OFFSET('玩法产出(新)'!$C$18,1+MATCH(X431,'玩法产出(新)'!$B$19:$B$25,0),1)*(V431))^AA431*(1+OFFSET('玩法产出(新)'!$C$18,MATCH(X431,'玩法产出(新)'!$B$19:$B$25,0),3)*(1-V431)+OFFSET('玩法产出(新)'!$C$18,1+MATCH(X431,'玩法产出(新)'!$B$19:$B$25,0),3)*(V431))^AB431*(1+OFFSET('玩法产出(新)'!$C$18,MATCH(X431,'玩法产出(新)'!$B$19:$B$25,0),4)*(1-V431)+OFFSET('玩法产出(新)'!$C$18,1+MATCH(X431,'玩法产出(新)'!$B$19:$B$25,0),4)*(V431))^AC431*(1+OFFSET('玩法产出(新)'!$C$18,MATCH(X431,'玩法产出(新)'!$B$19:$B$25,0),5)*(1+V431)+OFFSET('玩法产出(新)'!$C$18,1+MATCH(X431,'玩法产出(新)'!$B$19:$B$25,5),1)*(V431))^AD431*(1+OFFSET('玩法产出(新)'!$C$18,MATCH(X431,'玩法产出(新)'!$B$19:$B$25,0),6)*(1+V431)+OFFSET('玩法产出(新)'!$C$18,1+MATCH(X431,'玩法产出(新)'!$B$19:$B$25,0),6)*(V431))^AE431</f>
        <v>85.9828505996955</v>
      </c>
      <c r="U431" s="226">
        <f ca="1" t="shared" si="192"/>
        <v>0.124869857910905</v>
      </c>
      <c r="V431" s="226">
        <f ca="1">COUNTIF($X$124:$X431,X431)/(COUNTIF($X$124:$X$723,X431)+1)</f>
        <v>0.395876288659794</v>
      </c>
      <c r="W431" s="19">
        <v>30</v>
      </c>
      <c r="X431" s="19" t="s">
        <v>326</v>
      </c>
      <c r="Y431" s="19">
        <f t="shared" si="198"/>
        <v>31960</v>
      </c>
      <c r="Z431" s="19">
        <f ca="1" t="shared" si="174"/>
        <v>0.597857857731959</v>
      </c>
      <c r="AA431" s="282">
        <f ca="1" t="shared" si="175"/>
        <v>3.40010625</v>
      </c>
      <c r="AB431" s="282">
        <f ca="1" t="shared" si="176"/>
        <v>18</v>
      </c>
      <c r="AC431" s="282">
        <f ca="1" t="shared" si="177"/>
        <v>6.5523</v>
      </c>
      <c r="AD431" s="282">
        <f ca="1" t="shared" si="178"/>
        <v>1.638075</v>
      </c>
      <c r="AE431" s="282">
        <f ca="1" t="shared" si="179"/>
        <v>0.40951875</v>
      </c>
      <c r="AF431" s="19" t="str">
        <f t="shared" si="180"/>
        <v>彩2</v>
      </c>
      <c r="AG431" s="19">
        <f>IFERROR(_xlfn.XLOOKUP(C431+1,[2]基因升级!$E$141:$E$500,[2]基因升级!$D$141:$D$500)-1,AG430)</f>
        <v>101</v>
      </c>
      <c r="AH431" s="19">
        <v>7</v>
      </c>
      <c r="AI431" s="19">
        <f t="shared" si="181"/>
        <v>9.2039189417803</v>
      </c>
      <c r="AJ431" s="19">
        <f t="shared" si="193"/>
        <v>0</v>
      </c>
      <c r="AK431" s="269">
        <v>1.864</v>
      </c>
      <c r="AL431" s="287">
        <f t="shared" si="201"/>
        <v>13.9599999999999</v>
      </c>
      <c r="AM431" s="287">
        <f t="shared" si="202"/>
        <v>10.3599999999999</v>
      </c>
      <c r="AN431" s="287">
        <f t="shared" si="203"/>
        <v>6.76</v>
      </c>
      <c r="AO431" s="293"/>
      <c r="AP431" s="86"/>
      <c r="AQ431" s="19">
        <f t="shared" si="182"/>
        <v>2.57156517925207</v>
      </c>
      <c r="AR431" s="19">
        <f t="shared" si="183"/>
        <v>2.01565377765991</v>
      </c>
      <c r="AS431" s="19">
        <f t="shared" si="184"/>
        <v>1.57991723646543</v>
      </c>
      <c r="AT431" s="19">
        <f t="shared" si="185"/>
        <v>1</v>
      </c>
      <c r="AU431" s="19">
        <f t="shared" si="186"/>
        <v>1</v>
      </c>
      <c r="AV431" s="232">
        <f t="shared" si="166"/>
        <v>0.0399999999999991</v>
      </c>
      <c r="AW431" s="232">
        <f t="shared" si="167"/>
        <v>0.0399999999999991</v>
      </c>
      <c r="AX431" s="232">
        <f t="shared" si="168"/>
        <v>0.04</v>
      </c>
      <c r="AY431" s="232">
        <f t="shared" si="169"/>
        <v>0</v>
      </c>
      <c r="AZ431" s="232">
        <f t="shared" si="170"/>
        <v>0</v>
      </c>
    </row>
    <row r="432" spans="1:52">
      <c r="A432" s="269"/>
      <c r="C432" s="19">
        <v>309</v>
      </c>
      <c r="D432" s="86">
        <f ca="1" t="shared" si="194"/>
        <v>215.855955709306</v>
      </c>
      <c r="E432" s="251">
        <f ca="1" t="shared" si="171"/>
        <v>0.342927393063235</v>
      </c>
      <c r="F432" s="269">
        <f ca="1" t="shared" si="187"/>
        <v>427.831221865788</v>
      </c>
      <c r="G432" s="283">
        <f ca="1" t="shared" si="188"/>
        <v>146.715045585493</v>
      </c>
      <c r="H432" s="279">
        <f ca="1" t="shared" si="189"/>
        <v>0.217915786056409</v>
      </c>
      <c r="I432" s="269">
        <f ca="1">SUM($J$125:J432)/SUM($H$125:H432)</f>
        <v>0.52683061855707</v>
      </c>
      <c r="J432" s="284">
        <f t="shared" si="195"/>
        <v>0.0751120036918564</v>
      </c>
      <c r="K432" s="19">
        <f t="shared" si="197"/>
        <v>31800</v>
      </c>
      <c r="L432" s="269">
        <f t="shared" si="190"/>
        <v>2.58999999999997</v>
      </c>
      <c r="M432" s="226">
        <f ca="1" t="shared" si="191"/>
        <v>109.824</v>
      </c>
      <c r="N432" s="280">
        <f ca="1" t="shared" si="196"/>
        <v>0.142803782364581</v>
      </c>
      <c r="O432" s="226">
        <f t="shared" si="200"/>
        <v>52.8</v>
      </c>
      <c r="P432" s="19">
        <f ca="1" t="shared" si="165"/>
        <v>11.8</v>
      </c>
      <c r="Q432" s="226">
        <f ca="1" t="shared" si="199"/>
        <v>2.08</v>
      </c>
      <c r="R432" s="269">
        <f ca="1" t="shared" si="172"/>
        <v>0.702088867981422</v>
      </c>
      <c r="S432" s="266">
        <f ca="1" t="shared" si="173"/>
        <v>65.9576577684322</v>
      </c>
      <c r="T432" s="226">
        <f ca="1">(1+OFFSET('玩法产出(新)'!$C$18,MATCH(X432,'玩法产出(新)'!$B$19:$B$25,0),1)*(1-V432)+OFFSET('玩法产出(新)'!$C$18,1+MATCH(X432,'玩法产出(新)'!$B$19:$B$25,0),1)*(V432))^AA432*(1+OFFSET('玩法产出(新)'!$C$18,MATCH(X432,'玩法产出(新)'!$B$19:$B$25,0),3)*(1-V432)+OFFSET('玩法产出(新)'!$C$18,1+MATCH(X432,'玩法产出(新)'!$B$19:$B$25,0),3)*(V432))^AB432*(1+OFFSET('玩法产出(新)'!$C$18,MATCH(X432,'玩法产出(新)'!$B$19:$B$25,0),4)*(1-V432)+OFFSET('玩法产出(新)'!$C$18,1+MATCH(X432,'玩法产出(新)'!$B$19:$B$25,0),4)*(V432))^AC432*(1+OFFSET('玩法产出(新)'!$C$18,MATCH(X432,'玩法产出(新)'!$B$19:$B$25,0),5)*(1+V432)+OFFSET('玩法产出(新)'!$C$18,1+MATCH(X432,'玩法产出(新)'!$B$19:$B$25,5),1)*(V432))^AD432*(1+OFFSET('玩法产出(新)'!$C$18,MATCH(X432,'玩法产出(新)'!$B$19:$B$25,0),6)*(1+V432)+OFFSET('玩法产出(新)'!$C$18,1+MATCH(X432,'玩法产出(新)'!$B$19:$B$25,0),6)*(V432))^AE432</f>
        <v>86.7131878408866</v>
      </c>
      <c r="U432" s="226">
        <f ca="1" t="shared" si="192"/>
        <v>0.125011607006797</v>
      </c>
      <c r="V432" s="226">
        <f ca="1">COUNTIF($X$124:$X432,X432)/(COUNTIF($X$124:$X$723,X432)+1)</f>
        <v>0.397938144329897</v>
      </c>
      <c r="W432" s="19">
        <v>30</v>
      </c>
      <c r="X432" s="19" t="s">
        <v>326</v>
      </c>
      <c r="Y432" s="19">
        <f t="shared" si="198"/>
        <v>32060</v>
      </c>
      <c r="Z432" s="19">
        <f ca="1" t="shared" si="174"/>
        <v>0.593324185824743</v>
      </c>
      <c r="AA432" s="282">
        <f ca="1" t="shared" si="175"/>
        <v>3.372740625</v>
      </c>
      <c r="AB432" s="282">
        <f ca="1" t="shared" si="176"/>
        <v>18</v>
      </c>
      <c r="AC432" s="282">
        <f ca="1" t="shared" si="177"/>
        <v>6.57315</v>
      </c>
      <c r="AD432" s="282">
        <f ca="1" t="shared" si="178"/>
        <v>1.6432875</v>
      </c>
      <c r="AE432" s="282">
        <f ca="1" t="shared" si="179"/>
        <v>0.410821875</v>
      </c>
      <c r="AF432" s="19" t="str">
        <f t="shared" si="180"/>
        <v>彩2</v>
      </c>
      <c r="AG432" s="19">
        <f>IFERROR(_xlfn.XLOOKUP(C432+1,[2]基因升级!$E$141:$E$500,[2]基因升级!$D$141:$D$500)-1,AG431)</f>
        <v>101</v>
      </c>
      <c r="AH432" s="19">
        <v>7</v>
      </c>
      <c r="AI432" s="19">
        <f t="shared" si="181"/>
        <v>9.2039189417803</v>
      </c>
      <c r="AJ432" s="19">
        <f t="shared" si="193"/>
        <v>0</v>
      </c>
      <c r="AK432" s="269">
        <v>1.864</v>
      </c>
      <c r="AL432" s="287">
        <f t="shared" si="201"/>
        <v>13.9999999999999</v>
      </c>
      <c r="AM432" s="287">
        <f t="shared" si="202"/>
        <v>10.3999999999999</v>
      </c>
      <c r="AN432" s="287">
        <f t="shared" si="203"/>
        <v>6.8</v>
      </c>
      <c r="AO432" s="293"/>
      <c r="AP432" s="86"/>
      <c r="AQ432" s="19">
        <f t="shared" si="182"/>
        <v>2.57853415020123</v>
      </c>
      <c r="AR432" s="19">
        <f t="shared" si="183"/>
        <v>2.0211162223739</v>
      </c>
      <c r="AS432" s="19">
        <f t="shared" si="184"/>
        <v>1.5841988301858</v>
      </c>
      <c r="AT432" s="19">
        <f t="shared" si="185"/>
        <v>1</v>
      </c>
      <c r="AU432" s="19">
        <f t="shared" si="186"/>
        <v>1</v>
      </c>
      <c r="AV432" s="232">
        <f t="shared" si="166"/>
        <v>0.0399999999999991</v>
      </c>
      <c r="AW432" s="232">
        <f t="shared" si="167"/>
        <v>0.0399999999999991</v>
      </c>
      <c r="AX432" s="232">
        <f t="shared" si="168"/>
        <v>0.04</v>
      </c>
      <c r="AY432" s="232">
        <f t="shared" si="169"/>
        <v>0</v>
      </c>
      <c r="AZ432" s="232">
        <f t="shared" si="170"/>
        <v>0</v>
      </c>
    </row>
    <row r="433" spans="1:52">
      <c r="A433" s="269"/>
      <c r="C433" s="19">
        <v>310</v>
      </c>
      <c r="D433" s="86">
        <f ca="1" t="shared" si="194"/>
        <v>216.197456961504</v>
      </c>
      <c r="E433" s="251">
        <f ca="1" t="shared" si="171"/>
        <v>0.341501252197979</v>
      </c>
      <c r="F433" s="269">
        <f ca="1" t="shared" si="187"/>
        <v>430.251404994316</v>
      </c>
      <c r="G433" s="283">
        <f ca="1" t="shared" si="188"/>
        <v>146.931393565499</v>
      </c>
      <c r="H433" s="279">
        <f ca="1" t="shared" si="189"/>
        <v>0.216347980005708</v>
      </c>
      <c r="I433" s="269">
        <f ca="1">SUM($J$125:J433)/SUM($H$125:H433)</f>
        <v>0.526545307956322</v>
      </c>
      <c r="J433" s="284">
        <f t="shared" si="195"/>
        <v>0.0749107619705711</v>
      </c>
      <c r="K433" s="19">
        <f t="shared" si="197"/>
        <v>31900</v>
      </c>
      <c r="L433" s="269">
        <f t="shared" si="190"/>
        <v>2.59499999999997</v>
      </c>
      <c r="M433" s="226">
        <f ca="1" t="shared" si="191"/>
        <v>110.88</v>
      </c>
      <c r="N433" s="280">
        <f ca="1" t="shared" si="196"/>
        <v>0.141437218035108</v>
      </c>
      <c r="O433" s="226">
        <f t="shared" si="200"/>
        <v>52.8</v>
      </c>
      <c r="P433" s="19">
        <f ca="1" t="shared" si="165"/>
        <v>12</v>
      </c>
      <c r="Q433" s="226">
        <f ca="1" t="shared" si="199"/>
        <v>2.1</v>
      </c>
      <c r="R433" s="269">
        <f ca="1" t="shared" si="172"/>
        <v>0.703421066882513</v>
      </c>
      <c r="S433" s="266">
        <f ca="1" t="shared" si="173"/>
        <v>66.0828110406245</v>
      </c>
      <c r="T433" s="226">
        <f ca="1">(1+OFFSET('玩法产出(新)'!$C$18,MATCH(X433,'玩法产出(新)'!$B$19:$B$25,0),1)*(1-V433)+OFFSET('玩法产出(新)'!$C$18,1+MATCH(X433,'玩法产出(新)'!$B$19:$B$25,0),1)*(V433))^AA433*(1+OFFSET('玩法产出(新)'!$C$18,MATCH(X433,'玩法产出(新)'!$B$19:$B$25,0),3)*(1-V433)+OFFSET('玩法产出(新)'!$C$18,1+MATCH(X433,'玩法产出(新)'!$B$19:$B$25,0),3)*(V433))^AB433*(1+OFFSET('玩法产出(新)'!$C$18,MATCH(X433,'玩法产出(新)'!$B$19:$B$25,0),4)*(1-V433)+OFFSET('玩法产出(新)'!$C$18,1+MATCH(X433,'玩法产出(新)'!$B$19:$B$25,0),4)*(V433))^AC433*(1+OFFSET('玩法产出(新)'!$C$18,MATCH(X433,'玩法产出(新)'!$B$19:$B$25,0),5)*(1+V433)+OFFSET('玩法产出(新)'!$C$18,1+MATCH(X433,'玩法产出(新)'!$B$19:$B$25,5),1)*(V433))^AD433*(1+OFFSET('玩法产出(新)'!$C$18,MATCH(X433,'玩法产出(新)'!$B$19:$B$25,0),6)*(1+V433)+OFFSET('玩法产出(新)'!$C$18,1+MATCH(X433,'玩法产出(新)'!$B$19:$B$25,0),6)*(V433))^AE433</f>
        <v>87.4505667560634</v>
      </c>
      <c r="U433" s="226">
        <f ca="1" t="shared" si="192"/>
        <v>0.1251532721923</v>
      </c>
      <c r="V433" s="226">
        <f ca="1">COUNTIF($X$124:$X433,X433)/(COUNTIF($X$124:$X$723,X433)+1)</f>
        <v>0.4</v>
      </c>
      <c r="W433" s="19">
        <v>30</v>
      </c>
      <c r="X433" s="19" t="s">
        <v>326</v>
      </c>
      <c r="Y433" s="19">
        <f t="shared" si="198"/>
        <v>32160</v>
      </c>
      <c r="Z433" s="19">
        <f ca="1" t="shared" si="174"/>
        <v>0.588786</v>
      </c>
      <c r="AA433" s="282">
        <f ca="1" t="shared" si="175"/>
        <v>3.345375</v>
      </c>
      <c r="AB433" s="282">
        <f ca="1" t="shared" si="176"/>
        <v>18</v>
      </c>
      <c r="AC433" s="282">
        <f ca="1" t="shared" si="177"/>
        <v>6.594</v>
      </c>
      <c r="AD433" s="282">
        <f ca="1" t="shared" si="178"/>
        <v>1.6485</v>
      </c>
      <c r="AE433" s="282">
        <f ca="1" t="shared" si="179"/>
        <v>0.412125</v>
      </c>
      <c r="AF433" s="19" t="str">
        <f t="shared" si="180"/>
        <v>彩2</v>
      </c>
      <c r="AG433" s="19">
        <f>IFERROR(_xlfn.XLOOKUP(C433+1,[2]基因升级!$E$141:$E$500,[2]基因升级!$D$141:$D$500)-1,AG432)</f>
        <v>101</v>
      </c>
      <c r="AH433" s="19">
        <v>7</v>
      </c>
      <c r="AI433" s="19">
        <f t="shared" si="181"/>
        <v>9.2039189417803</v>
      </c>
      <c r="AJ433" s="19">
        <f t="shared" si="193"/>
        <v>0</v>
      </c>
      <c r="AK433" s="269">
        <v>1.864</v>
      </c>
      <c r="AL433" s="287">
        <f t="shared" si="201"/>
        <v>14.0399999999999</v>
      </c>
      <c r="AM433" s="287">
        <f t="shared" si="202"/>
        <v>10.4399999999999</v>
      </c>
      <c r="AN433" s="287">
        <f t="shared" si="203"/>
        <v>6.84</v>
      </c>
      <c r="AO433" s="293"/>
      <c r="AP433" s="86"/>
      <c r="AQ433" s="19">
        <f t="shared" si="182"/>
        <v>2.5855220071411</v>
      </c>
      <c r="AR433" s="19">
        <f t="shared" si="183"/>
        <v>2.02659347037532</v>
      </c>
      <c r="AS433" s="19">
        <f t="shared" si="184"/>
        <v>1.58849202707396</v>
      </c>
      <c r="AT433" s="19">
        <f t="shared" si="185"/>
        <v>1</v>
      </c>
      <c r="AU433" s="19">
        <f t="shared" si="186"/>
        <v>1</v>
      </c>
      <c r="AV433" s="232">
        <f t="shared" si="166"/>
        <v>0.0399999999999991</v>
      </c>
      <c r="AW433" s="232">
        <f t="shared" si="167"/>
        <v>0.0399999999999991</v>
      </c>
      <c r="AX433" s="232">
        <f t="shared" si="168"/>
        <v>0.04</v>
      </c>
      <c r="AY433" s="232">
        <f t="shared" si="169"/>
        <v>0</v>
      </c>
      <c r="AZ433" s="232">
        <f t="shared" si="170"/>
        <v>0</v>
      </c>
    </row>
    <row r="434" spans="1:52">
      <c r="A434" s="269"/>
      <c r="C434" s="19">
        <v>311</v>
      </c>
      <c r="D434" s="86">
        <f ca="1" t="shared" si="194"/>
        <v>216.537559023041</v>
      </c>
      <c r="E434" s="251">
        <f ca="1" t="shared" si="171"/>
        <v>0.340102061536933</v>
      </c>
      <c r="F434" s="269">
        <f ca="1" t="shared" si="187"/>
        <v>432.653069224281</v>
      </c>
      <c r="G434" s="283">
        <f ca="1" t="shared" si="188"/>
        <v>147.146200773459</v>
      </c>
      <c r="H434" s="279">
        <f ca="1" t="shared" si="189"/>
        <v>0.214807207960689</v>
      </c>
      <c r="I434" s="269">
        <f ca="1">SUM($J$125:J434)/SUM($H$125:H434)</f>
        <v>0.526265350655168</v>
      </c>
      <c r="J434" s="284">
        <f t="shared" si="195"/>
        <v>0.0747106472348236</v>
      </c>
      <c r="K434" s="19">
        <f t="shared" si="197"/>
        <v>32000</v>
      </c>
      <c r="L434" s="269">
        <f t="shared" si="190"/>
        <v>2.59999999999997</v>
      </c>
      <c r="M434" s="226">
        <f ca="1" t="shared" si="191"/>
        <v>111.936</v>
      </c>
      <c r="N434" s="280">
        <f ca="1" t="shared" si="196"/>
        <v>0.140096560725894</v>
      </c>
      <c r="O434" s="226">
        <f t="shared" si="200"/>
        <v>52.8</v>
      </c>
      <c r="P434" s="19">
        <f ca="1" t="shared" si="165"/>
        <v>12.2</v>
      </c>
      <c r="Q434" s="226">
        <f ca="1" t="shared" si="199"/>
        <v>2.12</v>
      </c>
      <c r="R434" s="269">
        <f ca="1" t="shared" si="172"/>
        <v>0.704754772852183</v>
      </c>
      <c r="S434" s="266">
        <f ca="1" t="shared" si="173"/>
        <v>66.2081058942007</v>
      </c>
      <c r="T434" s="226">
        <f ca="1">(1+OFFSET('玩法产出(新)'!$C$18,MATCH(X434,'玩法产出(新)'!$B$19:$B$25,0),1)*(1-V434)+OFFSET('玩法产出(新)'!$C$18,1+MATCH(X434,'玩法产出(新)'!$B$19:$B$25,0),1)*(V434))^AA434*(1+OFFSET('玩法产出(新)'!$C$18,MATCH(X434,'玩法产出(新)'!$B$19:$B$25,0),3)*(1-V434)+OFFSET('玩法产出(新)'!$C$18,1+MATCH(X434,'玩法产出(新)'!$B$19:$B$25,0),3)*(V434))^AB434*(1+OFFSET('玩法产出(新)'!$C$18,MATCH(X434,'玩法产出(新)'!$B$19:$B$25,0),4)*(1-V434)+OFFSET('玩法产出(新)'!$C$18,1+MATCH(X434,'玩法产出(新)'!$B$19:$B$25,0),4)*(V434))^AC434*(1+OFFSET('玩法产出(新)'!$C$18,MATCH(X434,'玩法产出(新)'!$B$19:$B$25,0),5)*(1+V434)+OFFSET('玩法产出(新)'!$C$18,1+MATCH(X434,'玩法产出(新)'!$B$19:$B$25,5),1)*(V434))^AD434*(1+OFFSET('玩法产出(新)'!$C$18,MATCH(X434,'玩法产出(新)'!$B$19:$B$25,0),6)*(1+V434)+OFFSET('玩法产出(新)'!$C$18,1+MATCH(X434,'玩法产出(新)'!$B$19:$B$25,0),6)*(V434))^AE434</f>
        <v>88.1950609206639</v>
      </c>
      <c r="U434" s="226">
        <f ca="1" t="shared" si="192"/>
        <v>0.125294853576216</v>
      </c>
      <c r="V434" s="226">
        <f ca="1">COUNTIF($X$124:$X434,X434)/(COUNTIF($X$124:$X$723,X434)+1)</f>
        <v>0.402061855670103</v>
      </c>
      <c r="W434" s="19">
        <v>30</v>
      </c>
      <c r="X434" s="19" t="s">
        <v>326</v>
      </c>
      <c r="Y434" s="19">
        <f t="shared" si="198"/>
        <v>32260</v>
      </c>
      <c r="Z434" s="19">
        <f ca="1" t="shared" si="174"/>
        <v>0.584243300257732</v>
      </c>
      <c r="AA434" s="282">
        <f ca="1" t="shared" si="175"/>
        <v>3.318009375</v>
      </c>
      <c r="AB434" s="282">
        <f ca="1" t="shared" si="176"/>
        <v>18</v>
      </c>
      <c r="AC434" s="282">
        <f ca="1" t="shared" si="177"/>
        <v>6.61485</v>
      </c>
      <c r="AD434" s="282">
        <f ca="1" t="shared" si="178"/>
        <v>1.6537125</v>
      </c>
      <c r="AE434" s="282">
        <f ca="1" t="shared" si="179"/>
        <v>0.413428125</v>
      </c>
      <c r="AF434" s="19" t="str">
        <f t="shared" si="180"/>
        <v>彩2</v>
      </c>
      <c r="AG434" s="19">
        <f>IFERROR(_xlfn.XLOOKUP(C434+1,[2]基因升级!$E$141:$E$500,[2]基因升级!$D$141:$D$500)-1,AG433)</f>
        <v>101</v>
      </c>
      <c r="AH434" s="19">
        <v>7</v>
      </c>
      <c r="AI434" s="19">
        <f t="shared" si="181"/>
        <v>9.2039189417803</v>
      </c>
      <c r="AJ434" s="19">
        <f t="shared" si="193"/>
        <v>0</v>
      </c>
      <c r="AK434" s="269">
        <v>1.864</v>
      </c>
      <c r="AL434" s="287">
        <f t="shared" si="201"/>
        <v>14.0799999999999</v>
      </c>
      <c r="AM434" s="287">
        <f t="shared" si="202"/>
        <v>10.4799999999999</v>
      </c>
      <c r="AN434" s="287">
        <f t="shared" si="203"/>
        <v>6.88</v>
      </c>
      <c r="AO434" s="293"/>
      <c r="AP434" s="86"/>
      <c r="AQ434" s="19">
        <f t="shared" si="182"/>
        <v>2.59252880125293</v>
      </c>
      <c r="AR434" s="19">
        <f t="shared" si="183"/>
        <v>2.03208556178127</v>
      </c>
      <c r="AS434" s="19">
        <f t="shared" si="184"/>
        <v>1.59279685857462</v>
      </c>
      <c r="AT434" s="19">
        <f t="shared" si="185"/>
        <v>1</v>
      </c>
      <c r="AU434" s="19">
        <f t="shared" si="186"/>
        <v>1</v>
      </c>
      <c r="AV434" s="232">
        <f t="shared" si="166"/>
        <v>0.0399999999999991</v>
      </c>
      <c r="AW434" s="232">
        <f t="shared" si="167"/>
        <v>0.0399999999999991</v>
      </c>
      <c r="AX434" s="232">
        <f t="shared" si="168"/>
        <v>0.04</v>
      </c>
      <c r="AY434" s="232">
        <f t="shared" si="169"/>
        <v>0</v>
      </c>
      <c r="AZ434" s="232">
        <f t="shared" si="170"/>
        <v>0</v>
      </c>
    </row>
    <row r="435" spans="1:52">
      <c r="A435" s="269"/>
      <c r="C435" s="19">
        <v>312</v>
      </c>
      <c r="D435" s="86">
        <f ca="1" t="shared" si="194"/>
        <v>216.876288104646</v>
      </c>
      <c r="E435" s="251">
        <f ca="1" t="shared" si="171"/>
        <v>0.338729081605302</v>
      </c>
      <c r="F435" s="269">
        <f ca="1" t="shared" si="187"/>
        <v>435.036439166761</v>
      </c>
      <c r="G435" s="283">
        <f ca="1" t="shared" si="188"/>
        <v>147.359493503798</v>
      </c>
      <c r="H435" s="279">
        <f ca="1" t="shared" si="189"/>
        <v>0.213292730338253</v>
      </c>
      <c r="I435" s="269">
        <f ca="1">SUM($J$125:J435)/SUM($H$125:H435)</f>
        <v>0.525990619561868</v>
      </c>
      <c r="J435" s="284">
        <f t="shared" si="195"/>
        <v>0.0745116496982376</v>
      </c>
      <c r="K435" s="19">
        <f t="shared" si="197"/>
        <v>32100</v>
      </c>
      <c r="L435" s="269">
        <f t="shared" si="190"/>
        <v>2.60499999999997</v>
      </c>
      <c r="M435" s="226">
        <f ca="1" t="shared" si="191"/>
        <v>112.992</v>
      </c>
      <c r="N435" s="280">
        <f ca="1" t="shared" si="196"/>
        <v>0.138781080640001</v>
      </c>
      <c r="O435" s="226">
        <f t="shared" si="200"/>
        <v>52.8</v>
      </c>
      <c r="P435" s="19">
        <f ca="1" t="shared" si="165"/>
        <v>12.4</v>
      </c>
      <c r="Q435" s="226">
        <f ca="1" t="shared" si="199"/>
        <v>2.14</v>
      </c>
      <c r="R435" s="269">
        <f ca="1" t="shared" si="172"/>
        <v>0.706089984999558</v>
      </c>
      <c r="S435" s="266">
        <f ca="1" t="shared" si="173"/>
        <v>66.3335422454678</v>
      </c>
      <c r="T435" s="226">
        <f ca="1">(1+OFFSET('玩法产出(新)'!$C$18,MATCH(X435,'玩法产出(新)'!$B$19:$B$25,0),1)*(1-V435)+OFFSET('玩法产出(新)'!$C$18,1+MATCH(X435,'玩法产出(新)'!$B$19:$B$25,0),1)*(V435))^AA435*(1+OFFSET('玩法产出(新)'!$C$18,MATCH(X435,'玩法产出(新)'!$B$19:$B$25,0),3)*(1-V435)+OFFSET('玩法产出(新)'!$C$18,1+MATCH(X435,'玩法产出(新)'!$B$19:$B$25,0),3)*(V435))^AB435*(1+OFFSET('玩法产出(新)'!$C$18,MATCH(X435,'玩法产出(新)'!$B$19:$B$25,0),4)*(1-V435)+OFFSET('玩法产出(新)'!$C$18,1+MATCH(X435,'玩法产出(新)'!$B$19:$B$25,0),4)*(V435))^AC435*(1+OFFSET('玩法产出(新)'!$C$18,MATCH(X435,'玩法产出(新)'!$B$19:$B$25,0),5)*(1+V435)+OFFSET('玩法产出(新)'!$C$18,1+MATCH(X435,'玩法产出(新)'!$B$19:$B$25,5),1)*(V435))^AD435*(1+OFFSET('玩法产出(新)'!$C$18,MATCH(X435,'玩法产出(新)'!$B$19:$B$25,0),6)*(1+V435)+OFFSET('玩法产出(新)'!$C$18,1+MATCH(X435,'玩法产出(新)'!$B$19:$B$25,0),6)*(V435))^AE435</f>
        <v>88.946744729484</v>
      </c>
      <c r="U435" s="226">
        <f ca="1" t="shared" si="192"/>
        <v>0.125436351267063</v>
      </c>
      <c r="V435" s="226">
        <f ca="1">COUNTIF($X$124:$X435,X435)/(COUNTIF($X$124:$X$723,X435)+1)</f>
        <v>0.404123711340206</v>
      </c>
      <c r="W435" s="19">
        <v>30</v>
      </c>
      <c r="X435" s="19" t="s">
        <v>326</v>
      </c>
      <c r="Y435" s="19">
        <f t="shared" si="198"/>
        <v>32360</v>
      </c>
      <c r="Z435" s="19">
        <f ca="1" t="shared" si="174"/>
        <v>0.579696086597938</v>
      </c>
      <c r="AA435" s="282">
        <f ca="1" t="shared" si="175"/>
        <v>3.29064375</v>
      </c>
      <c r="AB435" s="282">
        <f ca="1" t="shared" si="176"/>
        <v>18</v>
      </c>
      <c r="AC435" s="282">
        <f ca="1" t="shared" si="177"/>
        <v>6.6357</v>
      </c>
      <c r="AD435" s="282">
        <f ca="1" t="shared" si="178"/>
        <v>1.658925</v>
      </c>
      <c r="AE435" s="282">
        <f ca="1" t="shared" si="179"/>
        <v>0.41473125</v>
      </c>
      <c r="AF435" s="19" t="str">
        <f t="shared" si="180"/>
        <v>彩2</v>
      </c>
      <c r="AG435" s="19">
        <f>IFERROR(_xlfn.XLOOKUP(C435+1,[2]基因升级!$E$141:$E$500,[2]基因升级!$D$141:$D$500)-1,AG434)</f>
        <v>101</v>
      </c>
      <c r="AH435" s="19">
        <v>7</v>
      </c>
      <c r="AI435" s="19">
        <f t="shared" si="181"/>
        <v>9.2039189417803</v>
      </c>
      <c r="AJ435" s="19">
        <f t="shared" si="193"/>
        <v>0</v>
      </c>
      <c r="AK435" s="269">
        <v>1.864</v>
      </c>
      <c r="AL435" s="287">
        <f t="shared" si="201"/>
        <v>14.1199999999999</v>
      </c>
      <c r="AM435" s="287">
        <f t="shared" si="202"/>
        <v>10.5199999999999</v>
      </c>
      <c r="AN435" s="287">
        <f t="shared" si="203"/>
        <v>6.92</v>
      </c>
      <c r="AO435" s="293"/>
      <c r="AP435" s="86"/>
      <c r="AQ435" s="19">
        <f t="shared" si="182"/>
        <v>2.59955458385668</v>
      </c>
      <c r="AR435" s="19">
        <f t="shared" si="183"/>
        <v>2.03759253681753</v>
      </c>
      <c r="AS435" s="19">
        <f t="shared" si="184"/>
        <v>1.59711335621772</v>
      </c>
      <c r="AT435" s="19">
        <f t="shared" si="185"/>
        <v>1</v>
      </c>
      <c r="AU435" s="19">
        <f t="shared" si="186"/>
        <v>1</v>
      </c>
      <c r="AV435" s="232">
        <f t="shared" si="166"/>
        <v>0.0399999999999991</v>
      </c>
      <c r="AW435" s="232">
        <f t="shared" si="167"/>
        <v>0.0399999999999991</v>
      </c>
      <c r="AX435" s="232">
        <f t="shared" si="168"/>
        <v>0.04</v>
      </c>
      <c r="AY435" s="232">
        <f t="shared" si="169"/>
        <v>0</v>
      </c>
      <c r="AZ435" s="232">
        <f t="shared" si="170"/>
        <v>0</v>
      </c>
    </row>
    <row r="436" spans="1:52">
      <c r="A436" s="269"/>
      <c r="C436" s="19">
        <v>313</v>
      </c>
      <c r="D436" s="86">
        <f ca="1" t="shared" si="194"/>
        <v>217.213669704846</v>
      </c>
      <c r="E436" s="251">
        <f ca="1" t="shared" si="171"/>
        <v>0.337381600200167</v>
      </c>
      <c r="F436" s="269">
        <f ca="1" t="shared" si="187"/>
        <v>437.401735160043</v>
      </c>
      <c r="G436" s="283">
        <f ca="1" t="shared" si="188"/>
        <v>147.571297338625</v>
      </c>
      <c r="H436" s="279">
        <f ca="1" t="shared" si="189"/>
        <v>0.21180383482718</v>
      </c>
      <c r="I436" s="269">
        <f ca="1">SUM($J$125:J436)/SUM($H$125:H436)</f>
        <v>0.525720991584715</v>
      </c>
      <c r="J436" s="284">
        <f t="shared" si="195"/>
        <v>0.0743137596904688</v>
      </c>
      <c r="K436" s="19">
        <f t="shared" si="197"/>
        <v>32200</v>
      </c>
      <c r="L436" s="269">
        <f t="shared" si="190"/>
        <v>2.60999999999997</v>
      </c>
      <c r="M436" s="226">
        <f ca="1" t="shared" si="191"/>
        <v>114.048</v>
      </c>
      <c r="N436" s="280">
        <f ca="1" t="shared" si="196"/>
        <v>0.137490075136725</v>
      </c>
      <c r="O436" s="226">
        <f t="shared" si="200"/>
        <v>52.8</v>
      </c>
      <c r="P436" s="19">
        <f ca="1" t="shared" si="165"/>
        <v>12.6</v>
      </c>
      <c r="Q436" s="226">
        <f ca="1" t="shared" si="199"/>
        <v>2.16</v>
      </c>
      <c r="R436" s="269">
        <f ca="1" t="shared" si="172"/>
        <v>0.707426702434915</v>
      </c>
      <c r="S436" s="266">
        <f ca="1" t="shared" si="173"/>
        <v>66.4591200108407</v>
      </c>
      <c r="T436" s="226">
        <f ca="1">(1+OFFSET('玩法产出(新)'!$C$18,MATCH(X436,'玩法产出(新)'!$B$19:$B$25,0),1)*(1-V436)+OFFSET('玩法产出(新)'!$C$18,1+MATCH(X436,'玩法产出(新)'!$B$19:$B$25,0),1)*(V436))^AA436*(1+OFFSET('玩法产出(新)'!$C$18,MATCH(X436,'玩法产出(新)'!$B$19:$B$25,0),3)*(1-V436)+OFFSET('玩法产出(新)'!$C$18,1+MATCH(X436,'玩法产出(新)'!$B$19:$B$25,0),3)*(V436))^AB436*(1+OFFSET('玩法产出(新)'!$C$18,MATCH(X436,'玩法产出(新)'!$B$19:$B$25,0),4)*(1-V436)+OFFSET('玩法产出(新)'!$C$18,1+MATCH(X436,'玩法产出(新)'!$B$19:$B$25,0),4)*(V436))^AC436*(1+OFFSET('玩法产出(新)'!$C$18,MATCH(X436,'玩法产出(新)'!$B$19:$B$25,0),5)*(1+V436)+OFFSET('玩法产出(新)'!$C$18,1+MATCH(X436,'玩法产出(新)'!$B$19:$B$25,5),1)*(V436))^AD436*(1+OFFSET('玩法产出(新)'!$C$18,MATCH(X436,'玩法产出(新)'!$B$19:$B$25,0),6)*(1+V436)+OFFSET('玩法产出(新)'!$C$18,1+MATCH(X436,'玩法产出(新)'!$B$19:$B$25,0),6)*(V436))^AE436</f>
        <v>89.7056934062907</v>
      </c>
      <c r="U436" s="226">
        <f ca="1" t="shared" si="192"/>
        <v>0.125577765372973</v>
      </c>
      <c r="V436" s="226">
        <f ca="1">COUNTIF($X$124:$X436,X436)/(COUNTIF($X$124:$X$723,X436)+1)</f>
        <v>0.406185567010309</v>
      </c>
      <c r="W436" s="19">
        <v>30</v>
      </c>
      <c r="X436" s="19" t="s">
        <v>326</v>
      </c>
      <c r="Y436" s="19">
        <f t="shared" si="198"/>
        <v>32460</v>
      </c>
      <c r="Z436" s="19">
        <f ca="1" t="shared" si="174"/>
        <v>0.575144359020619</v>
      </c>
      <c r="AA436" s="282">
        <f ca="1" t="shared" si="175"/>
        <v>3.263278125</v>
      </c>
      <c r="AB436" s="282">
        <f ca="1" t="shared" si="176"/>
        <v>18</v>
      </c>
      <c r="AC436" s="282">
        <f ca="1" t="shared" si="177"/>
        <v>6.65655</v>
      </c>
      <c r="AD436" s="282">
        <f ca="1" t="shared" si="178"/>
        <v>1.6641375</v>
      </c>
      <c r="AE436" s="282">
        <f ca="1" t="shared" si="179"/>
        <v>0.416034375</v>
      </c>
      <c r="AF436" s="19" t="str">
        <f t="shared" si="180"/>
        <v>彩2</v>
      </c>
      <c r="AG436" s="19">
        <f>IFERROR(_xlfn.XLOOKUP(C436+1,[2]基因升级!$E$141:$E$500,[2]基因升级!$D$141:$D$500)-1,AG435)</f>
        <v>101</v>
      </c>
      <c r="AH436" s="19">
        <v>7</v>
      </c>
      <c r="AI436" s="19">
        <f t="shared" si="181"/>
        <v>9.2039189417803</v>
      </c>
      <c r="AJ436" s="19">
        <f t="shared" si="193"/>
        <v>0</v>
      </c>
      <c r="AK436" s="269">
        <v>1.864</v>
      </c>
      <c r="AL436" s="287">
        <f t="shared" si="201"/>
        <v>14.1599999999999</v>
      </c>
      <c r="AM436" s="287">
        <f t="shared" si="202"/>
        <v>10.5599999999999</v>
      </c>
      <c r="AN436" s="287">
        <f t="shared" si="203"/>
        <v>6.96</v>
      </c>
      <c r="AO436" s="293"/>
      <c r="AP436" s="86"/>
      <c r="AQ436" s="19">
        <f t="shared" si="182"/>
        <v>2.60659940641137</v>
      </c>
      <c r="AR436" s="19">
        <f t="shared" si="183"/>
        <v>2.04311443581892</v>
      </c>
      <c r="AS436" s="19">
        <f t="shared" si="184"/>
        <v>1.60144155161864</v>
      </c>
      <c r="AT436" s="19">
        <f t="shared" si="185"/>
        <v>1</v>
      </c>
      <c r="AU436" s="19">
        <f t="shared" si="186"/>
        <v>1</v>
      </c>
      <c r="AV436" s="232">
        <f t="shared" si="166"/>
        <v>0.0399999999999991</v>
      </c>
      <c r="AW436" s="232">
        <f t="shared" si="167"/>
        <v>0.0399999999999991</v>
      </c>
      <c r="AX436" s="232">
        <f t="shared" si="168"/>
        <v>0.04</v>
      </c>
      <c r="AY436" s="232">
        <f t="shared" si="169"/>
        <v>0</v>
      </c>
      <c r="AZ436" s="232">
        <f t="shared" si="170"/>
        <v>0</v>
      </c>
    </row>
    <row r="437" spans="1:52">
      <c r="A437" s="269"/>
      <c r="C437" s="19">
        <v>314</v>
      </c>
      <c r="D437" s="86">
        <f ca="1" t="shared" si="194"/>
        <v>217.549728635984</v>
      </c>
      <c r="E437" s="251">
        <f ca="1" t="shared" si="171"/>
        <v>0.3360589311373</v>
      </c>
      <c r="F437" s="269">
        <f ca="1" t="shared" si="187"/>
        <v>439.749173377519</v>
      </c>
      <c r="G437" s="283">
        <f ca="1" t="shared" si="188"/>
        <v>147.78163717376</v>
      </c>
      <c r="H437" s="279">
        <f ca="1" t="shared" si="189"/>
        <v>0.210339835135272</v>
      </c>
      <c r="I437" s="269">
        <f ca="1">SUM($J$125:J437)/SUM($H$125:H437)</f>
        <v>0.525456347472554</v>
      </c>
      <c r="J437" s="284">
        <f t="shared" si="195"/>
        <v>0.0741169676552573</v>
      </c>
      <c r="K437" s="19">
        <f t="shared" si="197"/>
        <v>32300</v>
      </c>
      <c r="L437" s="269">
        <f t="shared" si="190"/>
        <v>2.61499999999997</v>
      </c>
      <c r="M437" s="226">
        <f ca="1" t="shared" si="191"/>
        <v>115.104</v>
      </c>
      <c r="N437" s="280">
        <f ca="1" t="shared" si="196"/>
        <v>0.136222867479987</v>
      </c>
      <c r="O437" s="226">
        <f t="shared" si="200"/>
        <v>52.8</v>
      </c>
      <c r="P437" s="19">
        <f ca="1" t="shared" si="165"/>
        <v>12.8</v>
      </c>
      <c r="Q437" s="226">
        <f ca="1" t="shared" si="199"/>
        <v>2.18</v>
      </c>
      <c r="R437" s="269">
        <f ca="1" t="shared" si="172"/>
        <v>0.708764924269681</v>
      </c>
      <c r="S437" s="266">
        <f ca="1" t="shared" si="173"/>
        <v>66.5848391068428</v>
      </c>
      <c r="T437" s="226">
        <f ca="1">(1+OFFSET('玩法产出(新)'!$C$18,MATCH(X437,'玩法产出(新)'!$B$19:$B$25,0),1)*(1-V437)+OFFSET('玩法产出(新)'!$C$18,1+MATCH(X437,'玩法产出(新)'!$B$19:$B$25,0),1)*(V437))^AA437*(1+OFFSET('玩法产出(新)'!$C$18,MATCH(X437,'玩法产出(新)'!$B$19:$B$25,0),3)*(1-V437)+OFFSET('玩法产出(新)'!$C$18,1+MATCH(X437,'玩法产出(新)'!$B$19:$B$25,0),3)*(V437))^AB437*(1+OFFSET('玩法产出(新)'!$C$18,MATCH(X437,'玩法产出(新)'!$B$19:$B$25,0),4)*(1-V437)+OFFSET('玩法产出(新)'!$C$18,1+MATCH(X437,'玩法产出(新)'!$B$19:$B$25,0),4)*(V437))^AC437*(1+OFFSET('玩法产出(新)'!$C$18,MATCH(X437,'玩法产出(新)'!$B$19:$B$25,0),5)*(1+V437)+OFFSET('玩法产出(新)'!$C$18,1+MATCH(X437,'玩法产出(新)'!$B$19:$B$25,5),1)*(V437))^AD437*(1+OFFSET('玩法产出(新)'!$C$18,MATCH(X437,'玩法产出(新)'!$B$19:$B$25,0),6)*(1+V437)+OFFSET('玩法产出(新)'!$C$18,1+MATCH(X437,'玩法产出(新)'!$B$19:$B$25,0),6)*(V437))^AE437</f>
        <v>90.4719830135553</v>
      </c>
      <c r="U437" s="226">
        <f ca="1" t="shared" si="192"/>
        <v>0.125719096002056</v>
      </c>
      <c r="V437" s="226">
        <f ca="1">COUNTIF($X$124:$X437,X437)/(COUNTIF($X$124:$X$723,X437)+1)</f>
        <v>0.408247422680412</v>
      </c>
      <c r="W437" s="19">
        <v>30</v>
      </c>
      <c r="X437" s="19" t="s">
        <v>326</v>
      </c>
      <c r="Y437" s="19">
        <f t="shared" si="198"/>
        <v>32560</v>
      </c>
      <c r="Z437" s="19">
        <f ca="1" t="shared" si="174"/>
        <v>0.570588117525773</v>
      </c>
      <c r="AA437" s="282">
        <f ca="1" t="shared" si="175"/>
        <v>3.2359125</v>
      </c>
      <c r="AB437" s="282">
        <f ca="1" t="shared" si="176"/>
        <v>18</v>
      </c>
      <c r="AC437" s="282">
        <f ca="1" t="shared" si="177"/>
        <v>6.6774</v>
      </c>
      <c r="AD437" s="282">
        <f ca="1" t="shared" si="178"/>
        <v>1.66935</v>
      </c>
      <c r="AE437" s="282">
        <f ca="1" t="shared" si="179"/>
        <v>0.4173375</v>
      </c>
      <c r="AF437" s="19" t="str">
        <f t="shared" si="180"/>
        <v>彩2</v>
      </c>
      <c r="AG437" s="19">
        <f>IFERROR(_xlfn.XLOOKUP(C437+1,[2]基因升级!$E$141:$E$500,[2]基因升级!$D$141:$D$500)-1,AG436)</f>
        <v>101</v>
      </c>
      <c r="AH437" s="19">
        <v>7</v>
      </c>
      <c r="AI437" s="19">
        <f t="shared" si="181"/>
        <v>9.2039189417803</v>
      </c>
      <c r="AJ437" s="19">
        <f t="shared" si="193"/>
        <v>0</v>
      </c>
      <c r="AK437" s="269">
        <v>1.864</v>
      </c>
      <c r="AL437" s="287">
        <f t="shared" si="201"/>
        <v>14.1999999999999</v>
      </c>
      <c r="AM437" s="287">
        <f t="shared" si="202"/>
        <v>10.5999999999999</v>
      </c>
      <c r="AN437" s="287">
        <f t="shared" si="203"/>
        <v>7</v>
      </c>
      <c r="AO437" s="293"/>
      <c r="AP437" s="86"/>
      <c r="AQ437" s="19">
        <f t="shared" si="182"/>
        <v>2.61366332051549</v>
      </c>
      <c r="AR437" s="19">
        <f t="shared" si="183"/>
        <v>2.04865129922954</v>
      </c>
      <c r="AS437" s="19">
        <f t="shared" si="184"/>
        <v>1.60578147647843</v>
      </c>
      <c r="AT437" s="19">
        <f t="shared" si="185"/>
        <v>1</v>
      </c>
      <c r="AU437" s="19">
        <f t="shared" si="186"/>
        <v>1</v>
      </c>
      <c r="AV437" s="232">
        <f t="shared" si="166"/>
        <v>0.0399999999999991</v>
      </c>
      <c r="AW437" s="232">
        <f t="shared" si="167"/>
        <v>0.0399999999999991</v>
      </c>
      <c r="AX437" s="232">
        <f t="shared" si="168"/>
        <v>0.04</v>
      </c>
      <c r="AY437" s="232">
        <f t="shared" si="169"/>
        <v>0</v>
      </c>
      <c r="AZ437" s="232">
        <f t="shared" si="170"/>
        <v>0</v>
      </c>
    </row>
    <row r="438" spans="1:52">
      <c r="A438" s="269"/>
      <c r="C438" s="19">
        <v>315</v>
      </c>
      <c r="D438" s="86">
        <f ca="1" t="shared" si="194"/>
        <v>219.194820167945</v>
      </c>
      <c r="E438" s="251">
        <f ca="1" t="shared" si="171"/>
        <v>1.64509153196142</v>
      </c>
      <c r="F438" s="269">
        <f ca="1" t="shared" si="187"/>
        <v>89.9588468898855</v>
      </c>
      <c r="G438" s="283">
        <f ca="1" t="shared" si="188"/>
        <v>147.990537243565</v>
      </c>
      <c r="H438" s="279">
        <f ca="1" t="shared" si="189"/>
        <v>0.208900069804599</v>
      </c>
      <c r="I438" s="269">
        <f ca="1">SUM($J$125:J438)/SUM($H$125:H438)</f>
        <v>0.525196571663043</v>
      </c>
      <c r="J438" s="284">
        <f t="shared" si="195"/>
        <v>0.0739212641489218</v>
      </c>
      <c r="K438" s="19">
        <f t="shared" si="197"/>
        <v>32400</v>
      </c>
      <c r="L438" s="269">
        <f t="shared" si="190"/>
        <v>2.61999999999997</v>
      </c>
      <c r="M438" s="226">
        <f ca="1" t="shared" si="191"/>
        <v>116.16</v>
      </c>
      <c r="N438" s="280">
        <f ca="1" t="shared" si="196"/>
        <v>0.134978805655678</v>
      </c>
      <c r="O438" s="226">
        <f t="shared" si="200"/>
        <v>52.8</v>
      </c>
      <c r="P438" s="19">
        <f ca="1" t="shared" si="165"/>
        <v>13</v>
      </c>
      <c r="Q438" s="226">
        <f ca="1" t="shared" si="199"/>
        <v>2.2</v>
      </c>
      <c r="R438" s="269">
        <f ca="1" t="shared" si="172"/>
        <v>0.71010464961643</v>
      </c>
      <c r="S438" s="266">
        <f ca="1" t="shared" si="173"/>
        <v>66.7106994501048</v>
      </c>
      <c r="T438" s="226">
        <f ca="1">(1+OFFSET('玩法产出(新)'!$C$18,MATCH(X438,'玩法产出(新)'!$B$19:$B$25,0),1)*(1-V438)+OFFSET('玩法产出(新)'!$C$18,1+MATCH(X438,'玩法产出(新)'!$B$19:$B$25,0),1)*(V438))^AA438*(1+OFFSET('玩法产出(新)'!$C$18,MATCH(X438,'玩法产出(新)'!$B$19:$B$25,0),3)*(1-V438)+OFFSET('玩法产出(新)'!$C$18,1+MATCH(X438,'玩法产出(新)'!$B$19:$B$25,0),3)*(V438))^AB438*(1+OFFSET('玩法产出(新)'!$C$18,MATCH(X438,'玩法产出(新)'!$B$19:$B$25,0),4)*(1-V438)+OFFSET('玩法产出(新)'!$C$18,1+MATCH(X438,'玩法产出(新)'!$B$19:$B$25,0),4)*(V438))^AC438*(1+OFFSET('玩法产出(新)'!$C$18,MATCH(X438,'玩法产出(新)'!$B$19:$B$25,0),5)*(1+V438)+OFFSET('玩法产出(新)'!$C$18,1+MATCH(X438,'玩法产出(新)'!$B$19:$B$25,5),1)*(V438))^AD438*(1+OFFSET('玩法产出(新)'!$C$18,MATCH(X438,'玩法产出(新)'!$B$19:$B$25,0),6)*(1+V438)+OFFSET('玩法产出(新)'!$C$18,1+MATCH(X438,'玩法产出(新)'!$B$19:$B$25,0),6)*(V438))^AE438</f>
        <v>91.245690462303</v>
      </c>
      <c r="U438" s="226">
        <f ca="1" t="shared" si="192"/>
        <v>0.125860343262003</v>
      </c>
      <c r="V438" s="226">
        <f ca="1">COUNTIF($X$124:$X438,X438)/(COUNTIF($X$124:$X$723,X438)+1)</f>
        <v>0.410309278350515</v>
      </c>
      <c r="W438" s="19">
        <v>30</v>
      </c>
      <c r="X438" s="19" t="s">
        <v>326</v>
      </c>
      <c r="Y438" s="19">
        <f t="shared" si="198"/>
        <v>32660</v>
      </c>
      <c r="Z438" s="19">
        <f ca="1" t="shared" si="174"/>
        <v>0.566027362113402</v>
      </c>
      <c r="AA438" s="282">
        <f ca="1" t="shared" si="175"/>
        <v>3.208546875</v>
      </c>
      <c r="AB438" s="282">
        <f ca="1" t="shared" si="176"/>
        <v>18</v>
      </c>
      <c r="AC438" s="282">
        <f ca="1" t="shared" si="177"/>
        <v>6.69825</v>
      </c>
      <c r="AD438" s="282">
        <f ca="1" t="shared" si="178"/>
        <v>1.6745625</v>
      </c>
      <c r="AE438" s="282">
        <f ca="1" t="shared" si="179"/>
        <v>0.418640625</v>
      </c>
      <c r="AF438" s="19" t="str">
        <f t="shared" si="180"/>
        <v>彩2</v>
      </c>
      <c r="AG438" s="19">
        <f>IFERROR(_xlfn.XLOOKUP(C438+1,[2]基因升级!$E$141:$E$500,[2]基因升级!$D$141:$D$500)-1,AG437)</f>
        <v>101</v>
      </c>
      <c r="AH438" s="19">
        <v>8</v>
      </c>
      <c r="AI438" s="19">
        <f t="shared" si="181"/>
        <v>10.5142500606751</v>
      </c>
      <c r="AJ438" s="19">
        <f t="shared" si="193"/>
        <v>1.31033111889482</v>
      </c>
      <c r="AK438" s="269">
        <v>2.0368</v>
      </c>
      <c r="AL438" s="287">
        <f t="shared" si="201"/>
        <v>14.2399999999999</v>
      </c>
      <c r="AM438" s="287">
        <f t="shared" si="202"/>
        <v>10.6399999999999</v>
      </c>
      <c r="AN438" s="287">
        <f t="shared" si="203"/>
        <v>7.04</v>
      </c>
      <c r="AO438" s="293"/>
      <c r="AP438" s="86"/>
      <c r="AQ438" s="19">
        <f t="shared" si="182"/>
        <v>2.62074637790735</v>
      </c>
      <c r="AR438" s="19">
        <f t="shared" si="183"/>
        <v>2.05420316760312</v>
      </c>
      <c r="AS438" s="19">
        <f t="shared" si="184"/>
        <v>1.61013316258406</v>
      </c>
      <c r="AT438" s="19">
        <f t="shared" si="185"/>
        <v>1</v>
      </c>
      <c r="AU438" s="19">
        <f t="shared" si="186"/>
        <v>1</v>
      </c>
      <c r="AV438" s="232">
        <f t="shared" si="166"/>
        <v>0.0399999999999991</v>
      </c>
      <c r="AW438" s="232">
        <f t="shared" si="167"/>
        <v>0.0399999999999991</v>
      </c>
      <c r="AX438" s="232">
        <f t="shared" si="168"/>
        <v>0.04</v>
      </c>
      <c r="AY438" s="232">
        <f t="shared" si="169"/>
        <v>0</v>
      </c>
      <c r="AZ438" s="232">
        <f t="shared" si="170"/>
        <v>0</v>
      </c>
    </row>
    <row r="439" spans="1:52">
      <c r="A439" s="269"/>
      <c r="C439" s="19">
        <v>316</v>
      </c>
      <c r="D439" s="86">
        <f ca="1" t="shared" si="194"/>
        <v>219.528305576297</v>
      </c>
      <c r="E439" s="251">
        <f ca="1" t="shared" si="171"/>
        <v>0.333485408351773</v>
      </c>
      <c r="F439" s="269">
        <f ca="1" t="shared" si="187"/>
        <v>444.391320978971</v>
      </c>
      <c r="G439" s="283">
        <f ca="1" t="shared" si="188"/>
        <v>148.198021144656</v>
      </c>
      <c r="H439" s="279">
        <f ca="1" t="shared" si="189"/>
        <v>0.207483901091223</v>
      </c>
      <c r="I439" s="269">
        <f ca="1">SUM($J$125:J439)/SUM($H$125:H439)</f>
        <v>0.524941552138176</v>
      </c>
      <c r="J439" s="284">
        <f t="shared" si="195"/>
        <v>0.0737266398385117</v>
      </c>
      <c r="K439" s="19">
        <f t="shared" si="197"/>
        <v>32500</v>
      </c>
      <c r="L439" s="269">
        <f t="shared" si="190"/>
        <v>2.62499999999997</v>
      </c>
      <c r="M439" s="226">
        <f ca="1" t="shared" si="191"/>
        <v>117.216</v>
      </c>
      <c r="N439" s="280">
        <f ca="1" t="shared" si="196"/>
        <v>0.133757261252725</v>
      </c>
      <c r="O439" s="226">
        <f t="shared" si="200"/>
        <v>52.8</v>
      </c>
      <c r="P439" s="19">
        <f ca="1" t="shared" ref="P439:P502" si="204">IF(O439=O438,P438+OFFSET($H$75,MATCH(P438,$G$76:$G$84,1),0),10)</f>
        <v>13.2</v>
      </c>
      <c r="Q439" s="226">
        <f ca="1" t="shared" si="199"/>
        <v>2.22</v>
      </c>
      <c r="R439" s="269">
        <f ca="1" t="shared" si="172"/>
        <v>0.711445877588883</v>
      </c>
      <c r="S439" s="266">
        <f ca="1" t="shared" si="173"/>
        <v>66.8367009573653</v>
      </c>
      <c r="T439" s="226">
        <f ca="1">(1+OFFSET('玩法产出(新)'!$C$18,MATCH(X439,'玩法产出(新)'!$B$19:$B$25,0),1)*(1-V439)+OFFSET('玩法产出(新)'!$C$18,1+MATCH(X439,'玩法产出(新)'!$B$19:$B$25,0),1)*(V439))^AA439*(1+OFFSET('玩法产出(新)'!$C$18,MATCH(X439,'玩法产出(新)'!$B$19:$B$25,0),3)*(1-V439)+OFFSET('玩法产出(新)'!$C$18,1+MATCH(X439,'玩法产出(新)'!$B$19:$B$25,0),3)*(V439))^AB439*(1+OFFSET('玩法产出(新)'!$C$18,MATCH(X439,'玩法产出(新)'!$B$19:$B$25,0),4)*(1-V439)+OFFSET('玩法产出(新)'!$C$18,1+MATCH(X439,'玩法产出(新)'!$B$19:$B$25,0),4)*(V439))^AC439*(1+OFFSET('玩法产出(新)'!$C$18,MATCH(X439,'玩法产出(新)'!$B$19:$B$25,0),5)*(1+V439)+OFFSET('玩法产出(新)'!$C$18,1+MATCH(X439,'玩法产出(新)'!$B$19:$B$25,5),1)*(V439))^AD439*(1+OFFSET('玩法产出(新)'!$C$18,MATCH(X439,'玩法产出(新)'!$B$19:$B$25,0),6)*(1+V439)+OFFSET('玩法产出(新)'!$C$18,1+MATCH(X439,'玩法产出(新)'!$B$19:$B$25,0),6)*(V439))^AE439</f>
        <v>92.0268935220873</v>
      </c>
      <c r="U439" s="226">
        <f ca="1" t="shared" si="192"/>
        <v>0.126001507260536</v>
      </c>
      <c r="V439" s="226">
        <f ca="1">COUNTIF($X$124:$X439,X439)/(COUNTIF($X$124:$X$723,X439)+1)</f>
        <v>0.412371134020619</v>
      </c>
      <c r="W439" s="19">
        <v>30</v>
      </c>
      <c r="X439" s="19" t="s">
        <v>326</v>
      </c>
      <c r="Y439" s="19">
        <f t="shared" si="198"/>
        <v>32760</v>
      </c>
      <c r="Z439" s="19">
        <f ca="1" t="shared" si="174"/>
        <v>0.561462092783505</v>
      </c>
      <c r="AA439" s="282">
        <f ca="1" t="shared" si="175"/>
        <v>3.18118125</v>
      </c>
      <c r="AB439" s="282">
        <f ca="1" t="shared" si="176"/>
        <v>18</v>
      </c>
      <c r="AC439" s="282">
        <f ca="1" t="shared" si="177"/>
        <v>6.7191</v>
      </c>
      <c r="AD439" s="282">
        <f ca="1" t="shared" si="178"/>
        <v>1.679775</v>
      </c>
      <c r="AE439" s="282">
        <f ca="1" t="shared" si="179"/>
        <v>0.41994375</v>
      </c>
      <c r="AF439" s="19" t="str">
        <f t="shared" si="180"/>
        <v>彩2</v>
      </c>
      <c r="AG439" s="19">
        <f>IFERROR(_xlfn.XLOOKUP(C439+1,[2]基因升级!$E$141:$E$500,[2]基因升级!$D$141:$D$500)-1,AG438)</f>
        <v>101</v>
      </c>
      <c r="AH439" s="19">
        <v>8</v>
      </c>
      <c r="AI439" s="19">
        <f t="shared" si="181"/>
        <v>10.5142500606751</v>
      </c>
      <c r="AJ439" s="19">
        <f t="shared" si="193"/>
        <v>0</v>
      </c>
      <c r="AK439" s="269">
        <v>2.0368</v>
      </c>
      <c r="AL439" s="287">
        <f t="shared" si="201"/>
        <v>14.2799999999999</v>
      </c>
      <c r="AM439" s="287">
        <f t="shared" si="202"/>
        <v>10.6799999999999</v>
      </c>
      <c r="AN439" s="287">
        <f t="shared" si="203"/>
        <v>7.08</v>
      </c>
      <c r="AO439" s="293"/>
      <c r="AP439" s="86"/>
      <c r="AQ439" s="19">
        <f t="shared" si="182"/>
        <v>2.62784863046549</v>
      </c>
      <c r="AR439" s="19">
        <f t="shared" si="183"/>
        <v>2.05977008160328</v>
      </c>
      <c r="AS439" s="19">
        <f t="shared" si="184"/>
        <v>1.61449664180865</v>
      </c>
      <c r="AT439" s="19">
        <f t="shared" si="185"/>
        <v>1</v>
      </c>
      <c r="AU439" s="19">
        <f t="shared" si="186"/>
        <v>1</v>
      </c>
      <c r="AV439" s="232">
        <f t="shared" ref="AV439:AV502" si="205">AL439-AL438</f>
        <v>0.0399999999999991</v>
      </c>
      <c r="AW439" s="232">
        <f t="shared" ref="AW439:AW502" si="206">AM439-AM438</f>
        <v>0.0399999999999991</v>
      </c>
      <c r="AX439" s="232">
        <f t="shared" ref="AX439:AX502" si="207">AN439-AN438</f>
        <v>0.04</v>
      </c>
      <c r="AY439" s="232">
        <f t="shared" ref="AY439:AY502" si="208">AO439-AO438</f>
        <v>0</v>
      </c>
      <c r="AZ439" s="232">
        <f t="shared" ref="AZ439:AZ502" si="209">AP439-AP438</f>
        <v>0</v>
      </c>
    </row>
    <row r="440" spans="1:52">
      <c r="A440" s="269"/>
      <c r="C440" s="19">
        <v>317</v>
      </c>
      <c r="D440" s="86">
        <f ca="1" t="shared" si="194"/>
        <v>219.860538878307</v>
      </c>
      <c r="E440" s="251">
        <f ca="1" t="shared" si="171"/>
        <v>0.332233302009986</v>
      </c>
      <c r="F440" s="269">
        <f ca="1" t="shared" si="187"/>
        <v>446.686442812107</v>
      </c>
      <c r="G440" s="283">
        <f ca="1" t="shared" si="188"/>
        <v>148.404111858561</v>
      </c>
      <c r="H440" s="279">
        <f ca="1" t="shared" si="189"/>
        <v>0.206090713905013</v>
      </c>
      <c r="I440" s="269">
        <f ca="1">SUM($J$125:J440)/SUM($H$125:H440)</f>
        <v>0.524691180286697</v>
      </c>
      <c r="J440" s="284">
        <f t="shared" si="195"/>
        <v>0.0735330855002445</v>
      </c>
      <c r="K440" s="19">
        <f t="shared" si="197"/>
        <v>32600</v>
      </c>
      <c r="L440" s="269">
        <f t="shared" si="190"/>
        <v>2.62999999999997</v>
      </c>
      <c r="M440" s="226">
        <f ca="1" t="shared" si="191"/>
        <v>118.272</v>
      </c>
      <c r="N440" s="280">
        <f ca="1" t="shared" si="196"/>
        <v>0.132557628404754</v>
      </c>
      <c r="O440" s="226">
        <f t="shared" si="200"/>
        <v>52.8</v>
      </c>
      <c r="P440" s="19">
        <f ca="1" t="shared" si="204"/>
        <v>13.4</v>
      </c>
      <c r="Q440" s="226">
        <f ca="1" t="shared" si="199"/>
        <v>2.24</v>
      </c>
      <c r="R440" s="269">
        <f ca="1" t="shared" si="172"/>
        <v>0.712788607301903</v>
      </c>
      <c r="S440" s="266">
        <f ca="1" t="shared" si="173"/>
        <v>66.9628435454703</v>
      </c>
      <c r="T440" s="226">
        <f ca="1">(1+OFFSET('玩法产出(新)'!$C$18,MATCH(X440,'玩法产出(新)'!$B$19:$B$25,0),1)*(1-V440)+OFFSET('玩法产出(新)'!$C$18,1+MATCH(X440,'玩法产出(新)'!$B$19:$B$25,0),1)*(V440))^AA440*(1+OFFSET('玩法产出(新)'!$C$18,MATCH(X440,'玩法产出(新)'!$B$19:$B$25,0),3)*(1-V440)+OFFSET('玩法产出(新)'!$C$18,1+MATCH(X440,'玩法产出(新)'!$B$19:$B$25,0),3)*(V440))^AB440*(1+OFFSET('玩法产出(新)'!$C$18,MATCH(X440,'玩法产出(新)'!$B$19:$B$25,0),4)*(1-V440)+OFFSET('玩法产出(新)'!$C$18,1+MATCH(X440,'玩法产出(新)'!$B$19:$B$25,0),4)*(V440))^AC440*(1+OFFSET('玩法产出(新)'!$C$18,MATCH(X440,'玩法产出(新)'!$B$19:$B$25,0),5)*(1+V440)+OFFSET('玩法产出(新)'!$C$18,1+MATCH(X440,'玩法产出(新)'!$B$19:$B$25,5),1)*(V440))^AD440*(1+OFFSET('玩法产出(新)'!$C$18,MATCH(X440,'玩法产出(新)'!$B$19:$B$25,0),6)*(1+V440)+OFFSET('玩法产出(新)'!$C$18,1+MATCH(X440,'玩法产出(新)'!$B$19:$B$25,0),6)*(V440))^AE440</f>
        <v>92.8156708310835</v>
      </c>
      <c r="U440" s="226">
        <f ca="1" t="shared" si="192"/>
        <v>0.126142588104987</v>
      </c>
      <c r="V440" s="226">
        <f ca="1">COUNTIF($X$124:$X440,X440)/(COUNTIF($X$124:$X$723,X440)+1)</f>
        <v>0.414432989690722</v>
      </c>
      <c r="W440" s="19">
        <v>30</v>
      </c>
      <c r="X440" s="19" t="s">
        <v>326</v>
      </c>
      <c r="Y440" s="19">
        <f t="shared" si="198"/>
        <v>32860</v>
      </c>
      <c r="Z440" s="19">
        <f ca="1" t="shared" si="174"/>
        <v>0.556892309536082</v>
      </c>
      <c r="AA440" s="282">
        <f ca="1" t="shared" si="175"/>
        <v>3.153815625</v>
      </c>
      <c r="AB440" s="282">
        <f ca="1" t="shared" si="176"/>
        <v>18</v>
      </c>
      <c r="AC440" s="282">
        <f ca="1" t="shared" si="177"/>
        <v>6.73995</v>
      </c>
      <c r="AD440" s="282">
        <f ca="1" t="shared" si="178"/>
        <v>1.6849875</v>
      </c>
      <c r="AE440" s="282">
        <f ca="1" t="shared" si="179"/>
        <v>0.421246875</v>
      </c>
      <c r="AF440" s="19" t="str">
        <f t="shared" si="180"/>
        <v>彩2</v>
      </c>
      <c r="AG440" s="19">
        <f>IFERROR(_xlfn.XLOOKUP(C440+1,[2]基因升级!$E$141:$E$500,[2]基因升级!$D$141:$D$500)-1,AG439)</f>
        <v>101</v>
      </c>
      <c r="AH440" s="19">
        <v>8</v>
      </c>
      <c r="AI440" s="19">
        <f t="shared" si="181"/>
        <v>10.5142500606751</v>
      </c>
      <c r="AJ440" s="19">
        <f t="shared" si="193"/>
        <v>0</v>
      </c>
      <c r="AK440" s="269">
        <v>2.0368</v>
      </c>
      <c r="AL440" s="287">
        <f t="shared" si="201"/>
        <v>14.3199999999999</v>
      </c>
      <c r="AM440" s="287">
        <f t="shared" si="202"/>
        <v>10.7199999999999</v>
      </c>
      <c r="AN440" s="287">
        <f t="shared" si="203"/>
        <v>7.12</v>
      </c>
      <c r="AO440" s="293"/>
      <c r="AP440" s="86"/>
      <c r="AQ440" s="19">
        <f t="shared" si="182"/>
        <v>2.63497013020901</v>
      </c>
      <c r="AR440" s="19">
        <f t="shared" si="183"/>
        <v>2.06535208200384</v>
      </c>
      <c r="AS440" s="19">
        <f t="shared" si="184"/>
        <v>1.61887194611167</v>
      </c>
      <c r="AT440" s="19">
        <f t="shared" si="185"/>
        <v>1</v>
      </c>
      <c r="AU440" s="19">
        <f t="shared" si="186"/>
        <v>1</v>
      </c>
      <c r="AV440" s="232">
        <f t="shared" si="205"/>
        <v>0.0399999999999991</v>
      </c>
      <c r="AW440" s="232">
        <f t="shared" si="206"/>
        <v>0.0399999999999991</v>
      </c>
      <c r="AX440" s="232">
        <f t="shared" si="207"/>
        <v>0.04</v>
      </c>
      <c r="AY440" s="232">
        <f t="shared" si="208"/>
        <v>0</v>
      </c>
      <c r="AZ440" s="232">
        <f t="shared" si="209"/>
        <v>0</v>
      </c>
    </row>
    <row r="441" spans="1:52">
      <c r="A441" s="269"/>
      <c r="C441" s="19">
        <v>318</v>
      </c>
      <c r="D441" s="86">
        <f ca="1" t="shared" si="194"/>
        <v>220.191542379015</v>
      </c>
      <c r="E441" s="251">
        <f ca="1" t="shared" si="171"/>
        <v>0.331003500708432</v>
      </c>
      <c r="F441" s="269">
        <f ca="1" t="shared" si="187"/>
        <v>448.964531962067</v>
      </c>
      <c r="G441" s="283">
        <f ca="1" t="shared" si="188"/>
        <v>148.608831773367</v>
      </c>
      <c r="H441" s="279">
        <f ca="1" t="shared" si="189"/>
        <v>0.204719914805935</v>
      </c>
      <c r="I441" s="269">
        <f ca="1">SUM($J$125:J441)/SUM($H$125:H441)</f>
        <v>0.524445350772994</v>
      </c>
      <c r="J441" s="284">
        <f t="shared" si="195"/>
        <v>0.0733405920178711</v>
      </c>
      <c r="K441" s="19">
        <f t="shared" si="197"/>
        <v>32700</v>
      </c>
      <c r="L441" s="269">
        <f t="shared" si="190"/>
        <v>2.63499999999997</v>
      </c>
      <c r="M441" s="226">
        <f ca="1" t="shared" si="191"/>
        <v>119.328</v>
      </c>
      <c r="N441" s="280">
        <f ca="1" t="shared" si="196"/>
        <v>0.131379322788078</v>
      </c>
      <c r="O441" s="226">
        <f t="shared" si="200"/>
        <v>52.8</v>
      </c>
      <c r="P441" s="19">
        <f ca="1" t="shared" si="204"/>
        <v>13.6</v>
      </c>
      <c r="Q441" s="226">
        <f ca="1" t="shared" si="199"/>
        <v>2.26</v>
      </c>
      <c r="R441" s="269">
        <f ca="1" t="shared" si="172"/>
        <v>0.714132837871493</v>
      </c>
      <c r="S441" s="266">
        <f ca="1" t="shared" si="173"/>
        <v>67.0891271313728</v>
      </c>
      <c r="T441" s="226">
        <f ca="1">(1+OFFSET('玩法产出(新)'!$C$18,MATCH(X441,'玩法产出(新)'!$B$19:$B$25,0),1)*(1-V441)+OFFSET('玩法产出(新)'!$C$18,1+MATCH(X441,'玩法产出(新)'!$B$19:$B$25,0),1)*(V441))^AA441*(1+OFFSET('玩法产出(新)'!$C$18,MATCH(X441,'玩法产出(新)'!$B$19:$B$25,0),3)*(1-V441)+OFFSET('玩法产出(新)'!$C$18,1+MATCH(X441,'玩法产出(新)'!$B$19:$B$25,0),3)*(V441))^AB441*(1+OFFSET('玩法产出(新)'!$C$18,MATCH(X441,'玩法产出(新)'!$B$19:$B$25,0),4)*(1-V441)+OFFSET('玩法产出(新)'!$C$18,1+MATCH(X441,'玩法产出(新)'!$B$19:$B$25,0),4)*(V441))^AC441*(1+OFFSET('玩法产出(新)'!$C$18,MATCH(X441,'玩法产出(新)'!$B$19:$B$25,0),5)*(1+V441)+OFFSET('玩法产出(新)'!$C$18,1+MATCH(X441,'玩法产出(新)'!$B$19:$B$25,5),1)*(V441))^AD441*(1+OFFSET('玩法产出(新)'!$C$18,MATCH(X441,'玩法产出(新)'!$B$19:$B$25,0),6)*(1+V441)+OFFSET('玩法产出(新)'!$C$18,1+MATCH(X441,'玩法产出(新)'!$B$19:$B$25,0),6)*(V441))^AE441</f>
        <v>93.6121019063081</v>
      </c>
      <c r="U441" s="226">
        <f ca="1" t="shared" si="192"/>
        <v>0.126283585902483</v>
      </c>
      <c r="V441" s="226">
        <f ca="1">COUNTIF($X$124:$X441,X441)/(COUNTIF($X$124:$X$723,X441)+1)</f>
        <v>0.416494845360825</v>
      </c>
      <c r="W441" s="19">
        <v>30</v>
      </c>
      <c r="X441" s="19" t="s">
        <v>326</v>
      </c>
      <c r="Y441" s="19">
        <f t="shared" si="198"/>
        <v>32960</v>
      </c>
      <c r="Z441" s="19">
        <f ca="1" t="shared" si="174"/>
        <v>0.552318012371134</v>
      </c>
      <c r="AA441" s="282">
        <f ca="1" t="shared" si="175"/>
        <v>3.12645</v>
      </c>
      <c r="AB441" s="282">
        <f ca="1" t="shared" si="176"/>
        <v>18</v>
      </c>
      <c r="AC441" s="282">
        <f ca="1" t="shared" si="177"/>
        <v>6.7608</v>
      </c>
      <c r="AD441" s="282">
        <f ca="1" t="shared" si="178"/>
        <v>1.6902</v>
      </c>
      <c r="AE441" s="282">
        <f ca="1" t="shared" si="179"/>
        <v>0.42255</v>
      </c>
      <c r="AF441" s="19" t="str">
        <f t="shared" si="180"/>
        <v>彩2</v>
      </c>
      <c r="AG441" s="19">
        <f>IFERROR(_xlfn.XLOOKUP(C441+1,[2]基因升级!$E$141:$E$500,[2]基因升级!$D$141:$D$500)-1,AG440)</f>
        <v>102</v>
      </c>
      <c r="AH441" s="19">
        <v>8</v>
      </c>
      <c r="AI441" s="19">
        <f t="shared" si="181"/>
        <v>10.5142500606751</v>
      </c>
      <c r="AJ441" s="19">
        <f t="shared" si="193"/>
        <v>0</v>
      </c>
      <c r="AK441" s="269">
        <v>2.0368</v>
      </c>
      <c r="AL441" s="287">
        <f t="shared" si="201"/>
        <v>14.3599999999999</v>
      </c>
      <c r="AM441" s="287">
        <f t="shared" si="202"/>
        <v>10.7599999999999</v>
      </c>
      <c r="AN441" s="287">
        <f t="shared" si="203"/>
        <v>7.16</v>
      </c>
      <c r="AO441" s="293"/>
      <c r="AP441" s="86"/>
      <c r="AQ441" s="19">
        <f t="shared" si="182"/>
        <v>2.64211092929802</v>
      </c>
      <c r="AR441" s="19">
        <f t="shared" si="183"/>
        <v>2.07094920968911</v>
      </c>
      <c r="AS441" s="19">
        <f t="shared" si="184"/>
        <v>1.62325910753922</v>
      </c>
      <c r="AT441" s="19">
        <f t="shared" si="185"/>
        <v>1</v>
      </c>
      <c r="AU441" s="19">
        <f t="shared" si="186"/>
        <v>1</v>
      </c>
      <c r="AV441" s="232">
        <f t="shared" si="205"/>
        <v>0.0399999999999991</v>
      </c>
      <c r="AW441" s="232">
        <f t="shared" si="206"/>
        <v>0.0399999999999991</v>
      </c>
      <c r="AX441" s="232">
        <f t="shared" si="207"/>
        <v>0.04</v>
      </c>
      <c r="AY441" s="232">
        <f t="shared" si="208"/>
        <v>0</v>
      </c>
      <c r="AZ441" s="232">
        <f t="shared" si="209"/>
        <v>0</v>
      </c>
    </row>
    <row r="442" spans="1:52">
      <c r="A442" s="269"/>
      <c r="C442" s="19">
        <v>319</v>
      </c>
      <c r="D442" s="86">
        <f ca="1" t="shared" si="194"/>
        <v>220.521337810829</v>
      </c>
      <c r="E442" s="251">
        <f ca="1" t="shared" si="171"/>
        <v>0.329795431813533</v>
      </c>
      <c r="F442" s="269">
        <f ca="1" t="shared" si="187"/>
        <v>451.22578528789</v>
      </c>
      <c r="G442" s="283">
        <f ca="1" t="shared" si="188"/>
        <v>148.812202704421</v>
      </c>
      <c r="H442" s="279">
        <f ca="1" t="shared" si="189"/>
        <v>0.203370931053541</v>
      </c>
      <c r="I442" s="269">
        <f ca="1">SUM($J$125:J442)/SUM($H$125:H442)</f>
        <v>0.524203961412119</v>
      </c>
      <c r="J442" s="284">
        <f t="shared" si="195"/>
        <v>0.073149150381056</v>
      </c>
      <c r="K442" s="19">
        <f t="shared" si="197"/>
        <v>32800</v>
      </c>
      <c r="L442" s="269">
        <f t="shared" si="190"/>
        <v>2.63999999999997</v>
      </c>
      <c r="M442" s="226">
        <f ca="1" t="shared" si="191"/>
        <v>120.384</v>
      </c>
      <c r="N442" s="280">
        <f ca="1" t="shared" si="196"/>
        <v>0.130221780672485</v>
      </c>
      <c r="O442" s="226">
        <f t="shared" si="200"/>
        <v>52.8</v>
      </c>
      <c r="P442" s="19">
        <f ca="1" t="shared" si="204"/>
        <v>13.8</v>
      </c>
      <c r="Q442" s="226">
        <f ca="1" t="shared" si="199"/>
        <v>2.28</v>
      </c>
      <c r="R442" s="269">
        <f ca="1" t="shared" si="172"/>
        <v>0.715478568414796</v>
      </c>
      <c r="S442" s="266">
        <f ca="1" t="shared" si="173"/>
        <v>67.2155516321328</v>
      </c>
      <c r="T442" s="226">
        <f ca="1">(1+OFFSET('玩法产出(新)'!$C$18,MATCH(X442,'玩法产出(新)'!$B$19:$B$25,0),1)*(1-V442)+OFFSET('玩法产出(新)'!$C$18,1+MATCH(X442,'玩法产出(新)'!$B$19:$B$25,0),1)*(V442))^AA442*(1+OFFSET('玩法产出(新)'!$C$18,MATCH(X442,'玩法产出(新)'!$B$19:$B$25,0),3)*(1-V442)+OFFSET('玩法产出(新)'!$C$18,1+MATCH(X442,'玩法产出(新)'!$B$19:$B$25,0),3)*(V442))^AB442*(1+OFFSET('玩法产出(新)'!$C$18,MATCH(X442,'玩法产出(新)'!$B$19:$B$25,0),4)*(1-V442)+OFFSET('玩法产出(新)'!$C$18,1+MATCH(X442,'玩法产出(新)'!$B$19:$B$25,0),4)*(V442))^AC442*(1+OFFSET('玩法产出(新)'!$C$18,MATCH(X442,'玩法产出(新)'!$B$19:$B$25,0),5)*(1+V442)+OFFSET('玩法产出(新)'!$C$18,1+MATCH(X442,'玩法产出(新)'!$B$19:$B$25,5),1)*(V442))^AD442*(1+OFFSET('玩法产出(新)'!$C$18,MATCH(X442,'玩法产出(新)'!$B$19:$B$25,0),6)*(1+V442)+OFFSET('玩法产出(新)'!$C$18,1+MATCH(X442,'玩法产出(新)'!$B$19:$B$25,0),6)*(V442))^AE442</f>
        <v>94.4162671539634</v>
      </c>
      <c r="U442" s="226">
        <f ca="1" t="shared" si="192"/>
        <v>0.126424500759992</v>
      </c>
      <c r="V442" s="226">
        <f ca="1">COUNTIF($X$124:$X442,X442)/(COUNTIF($X$124:$X$723,X442)+1)</f>
        <v>0.418556701030928</v>
      </c>
      <c r="W442" s="19">
        <v>30</v>
      </c>
      <c r="X442" s="19" t="s">
        <v>326</v>
      </c>
      <c r="Y442" s="19">
        <f t="shared" si="198"/>
        <v>33060</v>
      </c>
      <c r="Z442" s="19">
        <f ca="1" t="shared" si="174"/>
        <v>0.54773920128866</v>
      </c>
      <c r="AA442" s="282">
        <f ca="1" t="shared" si="175"/>
        <v>3.099084375</v>
      </c>
      <c r="AB442" s="282">
        <f ca="1" t="shared" si="176"/>
        <v>18</v>
      </c>
      <c r="AC442" s="282">
        <f ca="1" t="shared" si="177"/>
        <v>6.78165</v>
      </c>
      <c r="AD442" s="282">
        <f ca="1" t="shared" si="178"/>
        <v>1.6954125</v>
      </c>
      <c r="AE442" s="282">
        <f ca="1" t="shared" si="179"/>
        <v>0.423853125</v>
      </c>
      <c r="AF442" s="19" t="str">
        <f t="shared" si="180"/>
        <v>彩2</v>
      </c>
      <c r="AG442" s="19">
        <f>IFERROR(_xlfn.XLOOKUP(C442+1,[2]基因升级!$E$141:$E$500,[2]基因升级!$D$141:$D$500)-1,AG441)</f>
        <v>102</v>
      </c>
      <c r="AH442" s="19">
        <v>8</v>
      </c>
      <c r="AI442" s="19">
        <f t="shared" si="181"/>
        <v>10.5142500606751</v>
      </c>
      <c r="AJ442" s="19">
        <f t="shared" si="193"/>
        <v>0</v>
      </c>
      <c r="AK442" s="269">
        <v>2.0368</v>
      </c>
      <c r="AL442" s="287">
        <f t="shared" si="201"/>
        <v>14.3999999999999</v>
      </c>
      <c r="AM442" s="287">
        <f t="shared" si="202"/>
        <v>10.7999999999999</v>
      </c>
      <c r="AN442" s="287">
        <f t="shared" si="203"/>
        <v>7.2</v>
      </c>
      <c r="AO442" s="293"/>
      <c r="AP442" s="86"/>
      <c r="AQ442" s="19">
        <f t="shared" si="182"/>
        <v>2.64927108003396</v>
      </c>
      <c r="AR442" s="19">
        <f t="shared" si="183"/>
        <v>2.07656150565421</v>
      </c>
      <c r="AS442" s="19">
        <f t="shared" si="184"/>
        <v>1.62765815822426</v>
      </c>
      <c r="AT442" s="19">
        <f t="shared" si="185"/>
        <v>1</v>
      </c>
      <c r="AU442" s="19">
        <f t="shared" si="186"/>
        <v>1</v>
      </c>
      <c r="AV442" s="232">
        <f t="shared" si="205"/>
        <v>0.0399999999999991</v>
      </c>
      <c r="AW442" s="232">
        <f t="shared" si="206"/>
        <v>0.0399999999999991</v>
      </c>
      <c r="AX442" s="232">
        <f t="shared" si="207"/>
        <v>0.04</v>
      </c>
      <c r="AY442" s="232">
        <f t="shared" si="208"/>
        <v>0</v>
      </c>
      <c r="AZ442" s="232">
        <f t="shared" si="209"/>
        <v>0</v>
      </c>
    </row>
    <row r="443" spans="1:52">
      <c r="A443" s="269"/>
      <c r="C443" s="19">
        <v>320</v>
      </c>
      <c r="D443" s="86">
        <f ca="1" t="shared" si="194"/>
        <v>220.849946353319</v>
      </c>
      <c r="E443" s="251">
        <f ca="1" t="shared" si="171"/>
        <v>0.328608542490288</v>
      </c>
      <c r="F443" s="269">
        <f ca="1" t="shared" si="187"/>
        <v>453.47039606717</v>
      </c>
      <c r="G443" s="283">
        <f ca="1" t="shared" si="188"/>
        <v>149.014245914127</v>
      </c>
      <c r="H443" s="279">
        <f ca="1" t="shared" si="189"/>
        <v>0.202043209706034</v>
      </c>
      <c r="I443" s="269">
        <f ca="1">SUM($J$125:J443)/SUM($H$125:H443)</f>
        <v>0.52396691305061</v>
      </c>
      <c r="J443" s="284">
        <f t="shared" si="195"/>
        <v>0.0729587516838421</v>
      </c>
      <c r="K443" s="19">
        <f t="shared" si="197"/>
        <v>32900</v>
      </c>
      <c r="L443" s="269">
        <f t="shared" si="190"/>
        <v>2.64499999999997</v>
      </c>
      <c r="M443" s="226">
        <f ca="1" t="shared" si="191"/>
        <v>121.44</v>
      </c>
      <c r="N443" s="280">
        <f ca="1" t="shared" si="196"/>
        <v>0.129084458022177</v>
      </c>
      <c r="O443" s="226">
        <f t="shared" si="200"/>
        <v>52.8</v>
      </c>
      <c r="P443" s="19">
        <f ca="1" t="shared" si="204"/>
        <v>14</v>
      </c>
      <c r="Q443" s="226">
        <f ca="1" t="shared" si="199"/>
        <v>2.3</v>
      </c>
      <c r="R443" s="269">
        <f ca="1" t="shared" si="172"/>
        <v>0.71682579805009</v>
      </c>
      <c r="S443" s="266">
        <f ca="1" t="shared" si="173"/>
        <v>67.3421169649171</v>
      </c>
      <c r="T443" s="226">
        <f ca="1">(1+OFFSET('玩法产出(新)'!$C$18,MATCH(X443,'玩法产出(新)'!$B$19:$B$25,0),1)*(1-V443)+OFFSET('玩法产出(新)'!$C$18,1+MATCH(X443,'玩法产出(新)'!$B$19:$B$25,0),1)*(V443))^AA443*(1+OFFSET('玩法产出(新)'!$C$18,MATCH(X443,'玩法产出(新)'!$B$19:$B$25,0),3)*(1-V443)+OFFSET('玩法产出(新)'!$C$18,1+MATCH(X443,'玩法产出(新)'!$B$19:$B$25,0),3)*(V443))^AB443*(1+OFFSET('玩法产出(新)'!$C$18,MATCH(X443,'玩法产出(新)'!$B$19:$B$25,0),4)*(1-V443)+OFFSET('玩法产出(新)'!$C$18,1+MATCH(X443,'玩法产出(新)'!$B$19:$B$25,0),4)*(V443))^AC443*(1+OFFSET('玩法产出(新)'!$C$18,MATCH(X443,'玩法产出(新)'!$B$19:$B$25,0),5)*(1+V443)+OFFSET('玩法产出(新)'!$C$18,1+MATCH(X443,'玩法产出(新)'!$B$19:$B$25,5),1)*(V443))^AD443*(1+OFFSET('玩法产出(新)'!$C$18,MATCH(X443,'玩法产出(新)'!$B$19:$B$25,0),6)*(1+V443)+OFFSET('玩法产出(新)'!$C$18,1+MATCH(X443,'玩法产出(新)'!$B$19:$B$25,0),6)*(V443))^AE443</f>
        <v>95.2282478799098</v>
      </c>
      <c r="U443" s="226">
        <f ca="1" t="shared" si="192"/>
        <v>0.126565332784269</v>
      </c>
      <c r="V443" s="226">
        <f ca="1">COUNTIF($X$124:$X443,X443)/(COUNTIF($X$124:$X$723,X443)+1)</f>
        <v>0.420618556701031</v>
      </c>
      <c r="W443" s="19">
        <v>30</v>
      </c>
      <c r="X443" s="19" t="s">
        <v>326</v>
      </c>
      <c r="Y443" s="19">
        <f t="shared" si="198"/>
        <v>33160</v>
      </c>
      <c r="Z443" s="19">
        <f ca="1" t="shared" si="174"/>
        <v>0.54315587628866</v>
      </c>
      <c r="AA443" s="282">
        <f ca="1" t="shared" si="175"/>
        <v>3.07171875</v>
      </c>
      <c r="AB443" s="282">
        <f ca="1" t="shared" si="176"/>
        <v>18</v>
      </c>
      <c r="AC443" s="282">
        <f ca="1" t="shared" si="177"/>
        <v>6.8025</v>
      </c>
      <c r="AD443" s="282">
        <f ca="1" t="shared" si="178"/>
        <v>1.700625</v>
      </c>
      <c r="AE443" s="282">
        <f ca="1" t="shared" si="179"/>
        <v>0.42515625</v>
      </c>
      <c r="AF443" s="19" t="str">
        <f t="shared" si="180"/>
        <v>彩2</v>
      </c>
      <c r="AG443" s="19">
        <f>IFERROR(_xlfn.XLOOKUP(C443+1,[2]基因升级!$E$141:$E$500,[2]基因升级!$D$141:$D$500)-1,AG442)</f>
        <v>102</v>
      </c>
      <c r="AH443" s="19">
        <v>8</v>
      </c>
      <c r="AI443" s="19">
        <f t="shared" si="181"/>
        <v>10.5142500606751</v>
      </c>
      <c r="AJ443" s="19">
        <f t="shared" si="193"/>
        <v>0</v>
      </c>
      <c r="AK443" s="269">
        <v>2.0368</v>
      </c>
      <c r="AL443" s="287">
        <f t="shared" si="201"/>
        <v>14.4399999999999</v>
      </c>
      <c r="AM443" s="287">
        <f t="shared" si="202"/>
        <v>10.8399999999999</v>
      </c>
      <c r="AN443" s="287">
        <f t="shared" si="203"/>
        <v>7.24</v>
      </c>
      <c r="AO443" s="293"/>
      <c r="AP443" s="86"/>
      <c r="AQ443" s="19">
        <f t="shared" si="182"/>
        <v>2.65645063486001</v>
      </c>
      <c r="AR443" s="19">
        <f t="shared" si="183"/>
        <v>2.08218901100535</v>
      </c>
      <c r="AS443" s="19">
        <f t="shared" si="184"/>
        <v>1.6320691303868</v>
      </c>
      <c r="AT443" s="19">
        <f t="shared" si="185"/>
        <v>1</v>
      </c>
      <c r="AU443" s="19">
        <f t="shared" si="186"/>
        <v>1</v>
      </c>
      <c r="AV443" s="232">
        <f t="shared" si="205"/>
        <v>0.0399999999999991</v>
      </c>
      <c r="AW443" s="232">
        <f t="shared" si="206"/>
        <v>0.0399999999999991</v>
      </c>
      <c r="AX443" s="232">
        <f t="shared" si="207"/>
        <v>0.04</v>
      </c>
      <c r="AY443" s="232">
        <f t="shared" si="208"/>
        <v>0</v>
      </c>
      <c r="AZ443" s="232">
        <f t="shared" si="209"/>
        <v>0</v>
      </c>
    </row>
    <row r="444" spans="1:52">
      <c r="A444" s="269"/>
      <c r="C444" s="19">
        <v>321</v>
      </c>
      <c r="D444" s="86">
        <f ca="1" t="shared" si="194"/>
        <v>221.177388652167</v>
      </c>
      <c r="E444" s="251">
        <f ca="1" t="shared" ref="E444:E507" si="210">J444+N444+U444+AJ444</f>
        <v>0.327442298847724</v>
      </c>
      <c r="F444" s="269">
        <f ca="1" t="shared" si="187"/>
        <v>455.698554084133</v>
      </c>
      <c r="G444" s="283">
        <f ca="1" t="shared" si="188"/>
        <v>149.214982130893</v>
      </c>
      <c r="H444" s="279">
        <f ca="1" t="shared" si="189"/>
        <v>0.200736216766046</v>
      </c>
      <c r="I444" s="269">
        <f ca="1">SUM($J$125:J444)/SUM($H$125:H444)</f>
        <v>0.52373410945277</v>
      </c>
      <c r="J444" s="284">
        <f t="shared" si="195"/>
        <v>0.0727693871231736</v>
      </c>
      <c r="K444" s="19">
        <f t="shared" si="197"/>
        <v>33000</v>
      </c>
      <c r="L444" s="269">
        <f t="shared" si="190"/>
        <v>2.64999999999997</v>
      </c>
      <c r="M444" s="226">
        <f ca="1" t="shared" si="191"/>
        <v>122.496</v>
      </c>
      <c r="N444" s="280">
        <f ca="1" t="shared" si="196"/>
        <v>0.127966829642844</v>
      </c>
      <c r="O444" s="226">
        <f t="shared" si="200"/>
        <v>52.8</v>
      </c>
      <c r="P444" s="19">
        <f ca="1" t="shared" si="204"/>
        <v>14.2</v>
      </c>
      <c r="Q444" s="226">
        <f ca="1" t="shared" si="199"/>
        <v>2.32</v>
      </c>
      <c r="R444" s="269">
        <f ca="1" t="shared" ref="R444:R507" si="211">S444/$E$115</f>
        <v>0.718174525896786</v>
      </c>
      <c r="S444" s="266">
        <f ca="1" t="shared" ref="S444:S507" si="212">LOG(T444,1.07)</f>
        <v>67.4688230469988</v>
      </c>
      <c r="T444" s="226">
        <f ca="1">(1+OFFSET('玩法产出(新)'!$C$18,MATCH(X444,'玩法产出(新)'!$B$19:$B$25,0),1)*(1-V444)+OFFSET('玩法产出(新)'!$C$18,1+MATCH(X444,'玩法产出(新)'!$B$19:$B$25,0),1)*(V444))^AA444*(1+OFFSET('玩法产出(新)'!$C$18,MATCH(X444,'玩法产出(新)'!$B$19:$B$25,0),3)*(1-V444)+OFFSET('玩法产出(新)'!$C$18,1+MATCH(X444,'玩法产出(新)'!$B$19:$B$25,0),3)*(V444))^AB444*(1+OFFSET('玩法产出(新)'!$C$18,MATCH(X444,'玩法产出(新)'!$B$19:$B$25,0),4)*(1-V444)+OFFSET('玩法产出(新)'!$C$18,1+MATCH(X444,'玩法产出(新)'!$B$19:$B$25,0),4)*(V444))^AC444*(1+OFFSET('玩法产出(新)'!$C$18,MATCH(X444,'玩法产出(新)'!$B$19:$B$25,0),5)*(1+V444)+OFFSET('玩法产出(新)'!$C$18,1+MATCH(X444,'玩法产出(新)'!$B$19:$B$25,5),1)*(V444))^AD444*(1+OFFSET('玩法产出(新)'!$C$18,MATCH(X444,'玩法产出(新)'!$B$19:$B$25,0),6)*(1+V444)+OFFSET('玩法产出(新)'!$C$18,1+MATCH(X444,'玩法产出(新)'!$B$19:$B$25,0),6)*(V444))^AE444</f>
        <v>96.0481263002659</v>
      </c>
      <c r="U444" s="226">
        <f ca="1" t="shared" si="192"/>
        <v>0.126706082081707</v>
      </c>
      <c r="V444" s="226">
        <f ca="1">COUNTIF($X$124:$X444,X444)/(COUNTIF($X$124:$X$723,X444)+1)</f>
        <v>0.422680412371134</v>
      </c>
      <c r="W444" s="19">
        <v>30</v>
      </c>
      <c r="X444" s="19" t="s">
        <v>326</v>
      </c>
      <c r="Y444" s="19">
        <f t="shared" si="198"/>
        <v>33260</v>
      </c>
      <c r="Z444" s="19">
        <f ca="1" t="shared" ref="Z444:Z507" si="213">(_xlfn.XLOOKUP(X444,$W$110:$W$115,$X$110:$X$115)+V444*_xlfn.XLOOKUP(X444,$W$110:$W$115,$Y$110:$Y$115))*MIN(AA444/2,6)</f>
        <v>0.538568037371134</v>
      </c>
      <c r="AA444" s="282">
        <f ca="1" t="shared" ref="AA444:AA507" si="214">MAX(W444-SUM(AB444:AE444),0)</f>
        <v>3.044353125</v>
      </c>
      <c r="AB444" s="282">
        <f ca="1" t="shared" ref="AB444:AB507" si="215">MIN(1+($Y444*$P$116+120*$C444)/OFFSET($G$101,MATCH(AB$123,$AB$123:$AE$123),0),18)</f>
        <v>18</v>
      </c>
      <c r="AC444" s="282">
        <f ca="1" t="shared" ref="AC444:AC507" si="216">MIN(($Y444*$P$116+120*$C444)/OFFSET($G$101,MATCH(AC$123,$AB$123:$AE$123),0),12)</f>
        <v>6.82335</v>
      </c>
      <c r="AD444" s="282">
        <f ca="1" t="shared" ref="AD444:AD507" si="217">IF(MATCH($X444,$L$112:$L$118,0)&gt;=4,($Y444*$P$116+120*$C444)/OFFSET($G$101,MATCH(AD$123,$AB$123:$AE$123),0),0)</f>
        <v>1.7058375</v>
      </c>
      <c r="AE444" s="282">
        <f ca="1" t="shared" ref="AE444:AE507" si="218">IF(MATCH($X444,$L$112:$L$118,0)&gt;=4,($Y444*$P$116+120*$C444)/OFFSET($G$101,MATCH(AE$123,$AB$123:$AE$123),0),0)</f>
        <v>0.426459375</v>
      </c>
      <c r="AF444" s="19" t="str">
        <f t="shared" ref="AF444:AF507" si="219">_xlfn.XLOOKUP(O444,$D$77:$D$95,$F$77:$F$95)</f>
        <v>彩2</v>
      </c>
      <c r="AG444" s="19">
        <f>IFERROR(_xlfn.XLOOKUP(C444+1,[2]基因升级!$E$141:$E$500,[2]基因升级!$D$141:$D$500)-1,AG443)</f>
        <v>102</v>
      </c>
      <c r="AH444" s="19">
        <v>8</v>
      </c>
      <c r="AI444" s="19">
        <f t="shared" ref="AI444:AI507" si="220">LOG(AK444,1.07)</f>
        <v>10.5142500606751</v>
      </c>
      <c r="AJ444" s="19">
        <f t="shared" si="193"/>
        <v>0</v>
      </c>
      <c r="AK444" s="269">
        <v>2.0368</v>
      </c>
      <c r="AL444" s="287">
        <f t="shared" si="201"/>
        <v>14.4799999999999</v>
      </c>
      <c r="AM444" s="287">
        <f t="shared" si="202"/>
        <v>10.8799999999999</v>
      </c>
      <c r="AN444" s="287">
        <f t="shared" si="203"/>
        <v>7.28</v>
      </c>
      <c r="AO444" s="293"/>
      <c r="AP444" s="86"/>
      <c r="AQ444" s="19">
        <f t="shared" ref="AQ444:AQ507" si="221">1.07^AL444</f>
        <v>2.66364964636149</v>
      </c>
      <c r="AR444" s="19">
        <f t="shared" ref="AR444:AR507" si="222">1.07^AM444</f>
        <v>2.08783176696014</v>
      </c>
      <c r="AS444" s="19">
        <f t="shared" ref="AS444:AS507" si="223">1.07^AN444</f>
        <v>1.63649205633417</v>
      </c>
      <c r="AT444" s="19">
        <f t="shared" ref="AT444:AT507" si="224">1.07^AO444</f>
        <v>1</v>
      </c>
      <c r="AU444" s="19">
        <f t="shared" ref="AU444:AU507" si="225">1.07^AP444</f>
        <v>1</v>
      </c>
      <c r="AV444" s="232">
        <f t="shared" si="205"/>
        <v>0.0399999999999991</v>
      </c>
      <c r="AW444" s="232">
        <f t="shared" si="206"/>
        <v>0.0399999999999991</v>
      </c>
      <c r="AX444" s="232">
        <f t="shared" si="207"/>
        <v>0.04</v>
      </c>
      <c r="AY444" s="232">
        <f t="shared" si="208"/>
        <v>0</v>
      </c>
      <c r="AZ444" s="232">
        <f t="shared" si="209"/>
        <v>0</v>
      </c>
    </row>
    <row r="445" spans="1:52">
      <c r="A445" s="269"/>
      <c r="C445" s="19">
        <v>322</v>
      </c>
      <c r="D445" s="86">
        <f ca="1" t="shared" si="194"/>
        <v>221.503684837296</v>
      </c>
      <c r="E445" s="251">
        <f ca="1" t="shared" si="210"/>
        <v>0.326296185129331</v>
      </c>
      <c r="F445" s="269">
        <f ca="1" t="shared" ref="F445:F508" si="226">G445/E445</f>
        <v>457.910445713734</v>
      </c>
      <c r="G445" s="283">
        <f ca="1" t="shared" ref="G445:G508" si="227">LOG((K445*O445*L445*Q445)/($K$124*$O$124*$L$124*$Q$124),1.07)+$G$124</f>
        <v>149.414431567263</v>
      </c>
      <c r="H445" s="279">
        <f ca="1" t="shared" ref="H445:H508" si="228">G445-G444</f>
        <v>0.1994494363706</v>
      </c>
      <c r="I445" s="269">
        <f ca="1">SUM($J$125:J445)/SUM($H$125:H445)</f>
        <v>0.523505457192149</v>
      </c>
      <c r="J445" s="284">
        <f t="shared" si="195"/>
        <v>0.072581047997275</v>
      </c>
      <c r="K445" s="19">
        <f t="shared" si="197"/>
        <v>33100</v>
      </c>
      <c r="L445" s="269">
        <f t="shared" ref="L445:L508" si="229">L444+0.5%</f>
        <v>2.65499999999997</v>
      </c>
      <c r="M445" s="226">
        <f ca="1" t="shared" ref="M445:M508" si="230">O445*Q445</f>
        <v>123.552</v>
      </c>
      <c r="N445" s="280">
        <f ca="1" t="shared" si="196"/>
        <v>0.126868388373353</v>
      </c>
      <c r="O445" s="226">
        <f t="shared" si="200"/>
        <v>52.8</v>
      </c>
      <c r="P445" s="19">
        <f ca="1" t="shared" si="204"/>
        <v>14.4</v>
      </c>
      <c r="Q445" s="226">
        <f ca="1" t="shared" si="199"/>
        <v>2.34</v>
      </c>
      <c r="R445" s="269">
        <f ca="1" t="shared" si="211"/>
        <v>0.719524751075427</v>
      </c>
      <c r="S445" s="266">
        <f ca="1" t="shared" si="212"/>
        <v>67.5956697957575</v>
      </c>
      <c r="T445" s="226">
        <f ca="1">(1+OFFSET('玩法产出(新)'!$C$18,MATCH(X445,'玩法产出(新)'!$B$19:$B$25,0),1)*(1-V445)+OFFSET('玩法产出(新)'!$C$18,1+MATCH(X445,'玩法产出(新)'!$B$19:$B$25,0),1)*(V445))^AA445*(1+OFFSET('玩法产出(新)'!$C$18,MATCH(X445,'玩法产出(新)'!$B$19:$B$25,0),3)*(1-V445)+OFFSET('玩法产出(新)'!$C$18,1+MATCH(X445,'玩法产出(新)'!$B$19:$B$25,0),3)*(V445))^AB445*(1+OFFSET('玩法产出(新)'!$C$18,MATCH(X445,'玩法产出(新)'!$B$19:$B$25,0),4)*(1-V445)+OFFSET('玩法产出(新)'!$C$18,1+MATCH(X445,'玩法产出(新)'!$B$19:$B$25,0),4)*(V445))^AC445*(1+OFFSET('玩法产出(新)'!$C$18,MATCH(X445,'玩法产出(新)'!$B$19:$B$25,0),5)*(1+V445)+OFFSET('玩法产出(新)'!$C$18,1+MATCH(X445,'玩法产出(新)'!$B$19:$B$25,5),1)*(V445))^AD445*(1+OFFSET('玩法产出(新)'!$C$18,MATCH(X445,'玩法产出(新)'!$B$19:$B$25,0),6)*(1+V445)+OFFSET('玩法产出(新)'!$C$18,1+MATCH(X445,'玩法产出(新)'!$B$19:$B$25,0),6)*(V445))^AE445</f>
        <v>96.8759855521412</v>
      </c>
      <c r="U445" s="226">
        <f ca="1" t="shared" ref="U445:U508" si="231">LOG(T445/T444,1.07)</f>
        <v>0.126846748758703</v>
      </c>
      <c r="V445" s="226">
        <f ca="1">COUNTIF($X$124:$X445,X445)/(COUNTIF($X$124:$X$723,X445)+1)</f>
        <v>0.424742268041237</v>
      </c>
      <c r="W445" s="19">
        <v>30</v>
      </c>
      <c r="X445" s="19" t="s">
        <v>326</v>
      </c>
      <c r="Y445" s="19">
        <f t="shared" si="198"/>
        <v>33360</v>
      </c>
      <c r="Z445" s="19">
        <f ca="1" t="shared" si="213"/>
        <v>0.533975684536082</v>
      </c>
      <c r="AA445" s="282">
        <f ca="1" t="shared" si="214"/>
        <v>3.0169875</v>
      </c>
      <c r="AB445" s="282">
        <f ca="1" t="shared" si="215"/>
        <v>18</v>
      </c>
      <c r="AC445" s="282">
        <f ca="1" t="shared" si="216"/>
        <v>6.8442</v>
      </c>
      <c r="AD445" s="282">
        <f ca="1" t="shared" si="217"/>
        <v>1.71105</v>
      </c>
      <c r="AE445" s="282">
        <f ca="1" t="shared" si="218"/>
        <v>0.4277625</v>
      </c>
      <c r="AF445" s="19" t="str">
        <f t="shared" si="219"/>
        <v>彩2</v>
      </c>
      <c r="AG445" s="19">
        <f>IFERROR(_xlfn.XLOOKUP(C445+1,[2]基因升级!$E$141:$E$500,[2]基因升级!$D$141:$D$500)-1,AG444)</f>
        <v>102</v>
      </c>
      <c r="AH445" s="19">
        <v>8</v>
      </c>
      <c r="AI445" s="19">
        <f t="shared" si="220"/>
        <v>10.5142500606751</v>
      </c>
      <c r="AJ445" s="19">
        <f t="shared" ref="AJ445:AJ508" si="232">AI445-AI444</f>
        <v>0</v>
      </c>
      <c r="AK445" s="269">
        <v>2.0368</v>
      </c>
      <c r="AL445" s="287">
        <f t="shared" si="201"/>
        <v>14.5199999999999</v>
      </c>
      <c r="AM445" s="287">
        <f t="shared" si="202"/>
        <v>10.9199999999999</v>
      </c>
      <c r="AN445" s="287">
        <f t="shared" si="203"/>
        <v>7.32</v>
      </c>
      <c r="AO445" s="293"/>
      <c r="AP445" s="86"/>
      <c r="AQ445" s="19">
        <f t="shared" si="221"/>
        <v>2.67086816726619</v>
      </c>
      <c r="AR445" s="19">
        <f t="shared" si="222"/>
        <v>2.09348981484789</v>
      </c>
      <c r="AS445" s="19">
        <f t="shared" si="223"/>
        <v>1.64092696846129</v>
      </c>
      <c r="AT445" s="19">
        <f t="shared" si="224"/>
        <v>1</v>
      </c>
      <c r="AU445" s="19">
        <f t="shared" si="225"/>
        <v>1</v>
      </c>
      <c r="AV445" s="232">
        <f t="shared" si="205"/>
        <v>0.0399999999999991</v>
      </c>
      <c r="AW445" s="232">
        <f t="shared" si="206"/>
        <v>0.0399999999999991</v>
      </c>
      <c r="AX445" s="232">
        <f t="shared" si="207"/>
        <v>0.04</v>
      </c>
      <c r="AY445" s="232">
        <f t="shared" si="208"/>
        <v>0</v>
      </c>
      <c r="AZ445" s="232">
        <f t="shared" si="209"/>
        <v>0</v>
      </c>
    </row>
    <row r="446" spans="1:52">
      <c r="A446" s="269"/>
      <c r="C446" s="19">
        <v>323</v>
      </c>
      <c r="D446" s="86">
        <f ca="1" t="shared" ref="D446:D509" si="233">D445+E446</f>
        <v>221.82885454024</v>
      </c>
      <c r="E446" s="251">
        <f ca="1" t="shared" si="210"/>
        <v>0.32516970294353</v>
      </c>
      <c r="F446" s="269">
        <f ca="1" t="shared" si="226"/>
        <v>460.106254005059</v>
      </c>
      <c r="G446" s="283">
        <f ca="1" t="shared" si="227"/>
        <v>149.612613937285</v>
      </c>
      <c r="H446" s="279">
        <f ca="1" t="shared" si="228"/>
        <v>0.198182370022209</v>
      </c>
      <c r="I446" s="269">
        <f ca="1">SUM($J$125:J446)/SUM($H$125:H446)</f>
        <v>0.523280865547903</v>
      </c>
      <c r="J446" s="284">
        <f t="shared" ref="J446:J509" si="234">LOG(K446*L446/$K$124/$L$124,1.07)-LOG(K445*L445/$K$124/$L$124,1.07)</f>
        <v>0.0723937257042166</v>
      </c>
      <c r="K446" s="19">
        <f t="shared" si="197"/>
        <v>33200</v>
      </c>
      <c r="L446" s="269">
        <f t="shared" si="229"/>
        <v>2.65999999999997</v>
      </c>
      <c r="M446" s="226">
        <f ca="1" t="shared" si="230"/>
        <v>124.608</v>
      </c>
      <c r="N446" s="280">
        <f ca="1" t="shared" ref="N446:N509" si="235">LOG(O446*Q446/($O$124*$Q$124),1.07)-LOG(O445*Q445/($O$124*$Q$124),1.07)</f>
        <v>0.125788644317993</v>
      </c>
      <c r="O446" s="226">
        <f t="shared" si="200"/>
        <v>52.8</v>
      </c>
      <c r="P446" s="19">
        <f ca="1" t="shared" si="204"/>
        <v>14.6</v>
      </c>
      <c r="Q446" s="226">
        <f ca="1" t="shared" si="199"/>
        <v>2.36</v>
      </c>
      <c r="R446" s="269">
        <f ca="1" t="shared" si="211"/>
        <v>0.720876472707686</v>
      </c>
      <c r="S446" s="266">
        <f ca="1" t="shared" si="212"/>
        <v>67.7226571286788</v>
      </c>
      <c r="T446" s="226">
        <f ca="1">(1+OFFSET('玩法产出(新)'!$C$18,MATCH(X446,'玩法产出(新)'!$B$19:$B$25,0),1)*(1-V446)+OFFSET('玩法产出(新)'!$C$18,1+MATCH(X446,'玩法产出(新)'!$B$19:$B$25,0),1)*(V446))^AA446*(1+OFFSET('玩法产出(新)'!$C$18,MATCH(X446,'玩法产出(新)'!$B$19:$B$25,0),3)*(1-V446)+OFFSET('玩法产出(新)'!$C$18,1+MATCH(X446,'玩法产出(新)'!$B$19:$B$25,0),3)*(V446))^AB446*(1+OFFSET('玩法产出(新)'!$C$18,MATCH(X446,'玩法产出(新)'!$B$19:$B$25,0),4)*(1-V446)+OFFSET('玩法产出(新)'!$C$18,1+MATCH(X446,'玩法产出(新)'!$B$19:$B$25,0),4)*(V446))^AC446*(1+OFFSET('玩法产出(新)'!$C$18,MATCH(X446,'玩法产出(新)'!$B$19:$B$25,0),5)*(1+V446)+OFFSET('玩法产出(新)'!$C$18,1+MATCH(X446,'玩法产出(新)'!$B$19:$B$25,5),1)*(V446))^AD446*(1+OFFSET('玩法产出(新)'!$C$18,MATCH(X446,'玩法产出(新)'!$B$19:$B$25,0),6)*(1+V446)+OFFSET('玩法产出(新)'!$C$18,1+MATCH(X446,'玩法产出(新)'!$B$19:$B$25,0),6)*(V446))^AE446</f>
        <v>97.7119097044989</v>
      </c>
      <c r="U446" s="226">
        <f ca="1" t="shared" si="231"/>
        <v>0.12698733292132</v>
      </c>
      <c r="V446" s="226">
        <f ca="1">COUNTIF($X$124:$X446,X446)/(COUNTIF($X$124:$X$723,X446)+1)</f>
        <v>0.42680412371134</v>
      </c>
      <c r="W446" s="19">
        <v>30</v>
      </c>
      <c r="X446" s="19" t="s">
        <v>326</v>
      </c>
      <c r="Y446" s="19">
        <f t="shared" si="198"/>
        <v>33460</v>
      </c>
      <c r="Z446" s="19">
        <f ca="1" t="shared" si="213"/>
        <v>0.529378817783505</v>
      </c>
      <c r="AA446" s="282">
        <f ca="1" t="shared" si="214"/>
        <v>2.989621875</v>
      </c>
      <c r="AB446" s="282">
        <f ca="1" t="shared" si="215"/>
        <v>18</v>
      </c>
      <c r="AC446" s="282">
        <f ca="1" t="shared" si="216"/>
        <v>6.86505</v>
      </c>
      <c r="AD446" s="282">
        <f ca="1" t="shared" si="217"/>
        <v>1.7162625</v>
      </c>
      <c r="AE446" s="282">
        <f ca="1" t="shared" si="218"/>
        <v>0.429065625</v>
      </c>
      <c r="AF446" s="19" t="str">
        <f t="shared" si="219"/>
        <v>彩2</v>
      </c>
      <c r="AG446" s="19">
        <f>IFERROR(_xlfn.XLOOKUP(C446+1,[2]基因升级!$E$141:$E$500,[2]基因升级!$D$141:$D$500)-1,AG445)</f>
        <v>102</v>
      </c>
      <c r="AH446" s="19">
        <v>8</v>
      </c>
      <c r="AI446" s="19">
        <f t="shared" si="220"/>
        <v>10.5142500606751</v>
      </c>
      <c r="AJ446" s="19">
        <f t="shared" si="232"/>
        <v>0</v>
      </c>
      <c r="AK446" s="269">
        <v>2.0368</v>
      </c>
      <c r="AL446" s="287">
        <f t="shared" si="201"/>
        <v>14.5599999999999</v>
      </c>
      <c r="AM446" s="287">
        <f t="shared" si="202"/>
        <v>10.9599999999999</v>
      </c>
      <c r="AN446" s="287">
        <f t="shared" si="203"/>
        <v>7.36</v>
      </c>
      <c r="AO446" s="293"/>
      <c r="AP446" s="86"/>
      <c r="AQ446" s="19">
        <f t="shared" si="221"/>
        <v>2.67810625044482</v>
      </c>
      <c r="AR446" s="19">
        <f t="shared" si="222"/>
        <v>2.09916319610991</v>
      </c>
      <c r="AS446" s="19">
        <f t="shared" si="223"/>
        <v>1.64537389925082</v>
      </c>
      <c r="AT446" s="19">
        <f t="shared" si="224"/>
        <v>1</v>
      </c>
      <c r="AU446" s="19">
        <f t="shared" si="225"/>
        <v>1</v>
      </c>
      <c r="AV446" s="232">
        <f t="shared" si="205"/>
        <v>0.0399999999999991</v>
      </c>
      <c r="AW446" s="232">
        <f t="shared" si="206"/>
        <v>0.0399999999999991</v>
      </c>
      <c r="AX446" s="232">
        <f t="shared" si="207"/>
        <v>0.04</v>
      </c>
      <c r="AY446" s="232">
        <f t="shared" si="208"/>
        <v>0</v>
      </c>
      <c r="AZ446" s="232">
        <f t="shared" si="209"/>
        <v>0</v>
      </c>
    </row>
    <row r="447" spans="1:52">
      <c r="A447" s="269"/>
      <c r="C447" s="19">
        <v>324</v>
      </c>
      <c r="D447" s="86">
        <f ca="1" t="shared" si="233"/>
        <v>222.152916910774</v>
      </c>
      <c r="E447" s="251">
        <f ca="1" t="shared" si="210"/>
        <v>0.324062370534165</v>
      </c>
      <c r="F447" s="269">
        <f ca="1" t="shared" si="226"/>
        <v>462.286158760757</v>
      </c>
      <c r="G447" s="283">
        <f ca="1" t="shared" si="227"/>
        <v>149.809548473144</v>
      </c>
      <c r="H447" s="279">
        <f ca="1" t="shared" si="228"/>
        <v>0.196934535858702</v>
      </c>
      <c r="I447" s="269">
        <f ca="1">SUM($J$125:J447)/SUM($H$125:H447)</f>
        <v>0.523060246405814</v>
      </c>
      <c r="J447" s="284">
        <f t="shared" si="234"/>
        <v>0.0722074117405072</v>
      </c>
      <c r="K447" s="19">
        <f t="shared" si="197"/>
        <v>33300</v>
      </c>
      <c r="L447" s="269">
        <f t="shared" si="229"/>
        <v>2.66499999999997</v>
      </c>
      <c r="M447" s="226">
        <f ca="1" t="shared" si="230"/>
        <v>125.664</v>
      </c>
      <c r="N447" s="280">
        <f ca="1" t="shared" si="235"/>
        <v>0.124727124118223</v>
      </c>
      <c r="O447" s="226">
        <f t="shared" si="200"/>
        <v>52.8</v>
      </c>
      <c r="P447" s="19">
        <f ca="1" t="shared" si="204"/>
        <v>14.8</v>
      </c>
      <c r="Q447" s="226">
        <f ca="1" t="shared" si="199"/>
        <v>2.38</v>
      </c>
      <c r="R447" s="269">
        <f ca="1" t="shared" si="211"/>
        <v>0.722229689916361</v>
      </c>
      <c r="S447" s="266">
        <f ca="1" t="shared" si="212"/>
        <v>67.8497849633542</v>
      </c>
      <c r="T447" s="226">
        <f ca="1">(1+OFFSET('玩法产出(新)'!$C$18,MATCH(X447,'玩法产出(新)'!$B$19:$B$25,0),1)*(1-V447)+OFFSET('玩法产出(新)'!$C$18,1+MATCH(X447,'玩法产出(新)'!$B$19:$B$25,0),1)*(V447))^AA447*(1+OFFSET('玩法产出(新)'!$C$18,MATCH(X447,'玩法产出(新)'!$B$19:$B$25,0),3)*(1-V447)+OFFSET('玩法产出(新)'!$C$18,1+MATCH(X447,'玩法产出(新)'!$B$19:$B$25,0),3)*(V447))^AB447*(1+OFFSET('玩法产出(新)'!$C$18,MATCH(X447,'玩法产出(新)'!$B$19:$B$25,0),4)*(1-V447)+OFFSET('玩法产出(新)'!$C$18,1+MATCH(X447,'玩法产出(新)'!$B$19:$B$25,0),4)*(V447))^AC447*(1+OFFSET('玩法产出(新)'!$C$18,MATCH(X447,'玩法产出(新)'!$B$19:$B$25,0),5)*(1+V447)+OFFSET('玩法产出(新)'!$C$18,1+MATCH(X447,'玩法产出(新)'!$B$19:$B$25,5),1)*(V447))^AD447*(1+OFFSET('玩法产出(新)'!$C$18,MATCH(X447,'玩法产出(新)'!$B$19:$B$25,0),6)*(1+V447)+OFFSET('玩法产出(新)'!$C$18,1+MATCH(X447,'玩法产出(新)'!$B$19:$B$25,0),6)*(V447))^AE447</f>
        <v>98.5559837691544</v>
      </c>
      <c r="U447" s="226">
        <f ca="1" t="shared" si="231"/>
        <v>0.127127834675434</v>
      </c>
      <c r="V447" s="226">
        <f ca="1">COUNTIF($X$124:$X447,X447)/(COUNTIF($X$124:$X$723,X447)+1)</f>
        <v>0.428865979381443</v>
      </c>
      <c r="W447" s="19">
        <v>30</v>
      </c>
      <c r="X447" s="19" t="s">
        <v>326</v>
      </c>
      <c r="Y447" s="19">
        <f t="shared" si="198"/>
        <v>33560</v>
      </c>
      <c r="Z447" s="19">
        <f ca="1" t="shared" si="213"/>
        <v>0.524777437113402</v>
      </c>
      <c r="AA447" s="282">
        <f ca="1" t="shared" si="214"/>
        <v>2.96225625</v>
      </c>
      <c r="AB447" s="282">
        <f ca="1" t="shared" si="215"/>
        <v>18</v>
      </c>
      <c r="AC447" s="282">
        <f ca="1" t="shared" si="216"/>
        <v>6.8859</v>
      </c>
      <c r="AD447" s="282">
        <f ca="1" t="shared" si="217"/>
        <v>1.721475</v>
      </c>
      <c r="AE447" s="282">
        <f ca="1" t="shared" si="218"/>
        <v>0.43036875</v>
      </c>
      <c r="AF447" s="19" t="str">
        <f t="shared" si="219"/>
        <v>彩2</v>
      </c>
      <c r="AG447" s="19">
        <f>IFERROR(_xlfn.XLOOKUP(C447+1,[2]基因升级!$E$141:$E$500,[2]基因升级!$D$141:$D$500)-1,AG446)</f>
        <v>102</v>
      </c>
      <c r="AH447" s="19">
        <v>8</v>
      </c>
      <c r="AI447" s="19">
        <f t="shared" si="220"/>
        <v>10.5142500606751</v>
      </c>
      <c r="AJ447" s="19">
        <f t="shared" si="232"/>
        <v>0</v>
      </c>
      <c r="AK447" s="269">
        <v>2.0368</v>
      </c>
      <c r="AL447" s="287">
        <f t="shared" si="201"/>
        <v>14.5999999999999</v>
      </c>
      <c r="AM447" s="287">
        <f t="shared" si="202"/>
        <v>10.9999999999999</v>
      </c>
      <c r="AN447" s="287">
        <f t="shared" si="203"/>
        <v>7.4</v>
      </c>
      <c r="AO447" s="293"/>
      <c r="AP447" s="86"/>
      <c r="AQ447" s="19">
        <f t="shared" si="221"/>
        <v>2.68536394891138</v>
      </c>
      <c r="AR447" s="19">
        <f t="shared" si="222"/>
        <v>2.10485195229983</v>
      </c>
      <c r="AS447" s="19">
        <f t="shared" si="223"/>
        <v>1.64983288127348</v>
      </c>
      <c r="AT447" s="19">
        <f t="shared" si="224"/>
        <v>1</v>
      </c>
      <c r="AU447" s="19">
        <f t="shared" si="225"/>
        <v>1</v>
      </c>
      <c r="AV447" s="232">
        <f t="shared" si="205"/>
        <v>0.0399999999999991</v>
      </c>
      <c r="AW447" s="232">
        <f t="shared" si="206"/>
        <v>0.0399999999999991</v>
      </c>
      <c r="AX447" s="232">
        <f t="shared" si="207"/>
        <v>0.04</v>
      </c>
      <c r="AY447" s="232">
        <f t="shared" si="208"/>
        <v>0</v>
      </c>
      <c r="AZ447" s="232">
        <f t="shared" si="209"/>
        <v>0</v>
      </c>
    </row>
    <row r="448" spans="1:52">
      <c r="A448" s="269"/>
      <c r="C448" s="19">
        <v>325</v>
      </c>
      <c r="D448" s="86">
        <f ca="1" t="shared" si="233"/>
        <v>222.475890632861</v>
      </c>
      <c r="E448" s="251">
        <f ca="1" t="shared" si="210"/>
        <v>0.322973722086944</v>
      </c>
      <c r="F448" s="269">
        <f ca="1" t="shared" si="226"/>
        <v>464.450336615074</v>
      </c>
      <c r="G448" s="283">
        <f ca="1" t="shared" si="227"/>
        <v>150.005253941104</v>
      </c>
      <c r="H448" s="279">
        <f ca="1" t="shared" si="228"/>
        <v>0.195705467960238</v>
      </c>
      <c r="I448" s="269">
        <f ca="1">SUM($J$125:J448)/SUM($H$125:H448)</f>
        <v>0.522843514163699</v>
      </c>
      <c r="J448" s="284">
        <f t="shared" si="234"/>
        <v>0.0720220976996586</v>
      </c>
      <c r="K448" s="19">
        <f t="shared" si="197"/>
        <v>33400</v>
      </c>
      <c r="L448" s="269">
        <f t="shared" si="229"/>
        <v>2.66999999999997</v>
      </c>
      <c r="M448" s="226">
        <f ca="1" t="shared" si="230"/>
        <v>126.72</v>
      </c>
      <c r="N448" s="280">
        <f ca="1" t="shared" si="235"/>
        <v>0.123683370260565</v>
      </c>
      <c r="O448" s="226">
        <f t="shared" si="200"/>
        <v>52.8</v>
      </c>
      <c r="P448" s="19">
        <f ca="1" t="shared" si="204"/>
        <v>15</v>
      </c>
      <c r="Q448" s="226">
        <f ca="1" t="shared" si="199"/>
        <v>2.4</v>
      </c>
      <c r="R448" s="269">
        <f ca="1" t="shared" si="211"/>
        <v>0.723584401825379</v>
      </c>
      <c r="S448" s="266">
        <f ca="1" t="shared" si="212"/>
        <v>67.9770532174809</v>
      </c>
      <c r="T448" s="226">
        <f ca="1">(1+OFFSET('玩法产出(新)'!$C$18,MATCH(X448,'玩法产出(新)'!$B$19:$B$25,0),1)*(1-V448)+OFFSET('玩法产出(新)'!$C$18,1+MATCH(X448,'玩法产出(新)'!$B$19:$B$25,0),1)*(V448))^AA448*(1+OFFSET('玩法产出(新)'!$C$18,MATCH(X448,'玩法产出(新)'!$B$19:$B$25,0),3)*(1-V448)+OFFSET('玩法产出(新)'!$C$18,1+MATCH(X448,'玩法产出(新)'!$B$19:$B$25,0),3)*(V448))^AB448*(1+OFFSET('玩法产出(新)'!$C$18,MATCH(X448,'玩法产出(新)'!$B$19:$B$25,0),4)*(1-V448)+OFFSET('玩法产出(新)'!$C$18,1+MATCH(X448,'玩法产出(新)'!$B$19:$B$25,0),4)*(V448))^AC448*(1+OFFSET('玩法产出(新)'!$C$18,MATCH(X448,'玩法产出(新)'!$B$19:$B$25,0),5)*(1+V448)+OFFSET('玩法产出(新)'!$C$18,1+MATCH(X448,'玩法产出(新)'!$B$19:$B$25,5),1)*(V448))^AD448*(1+OFFSET('玩法产出(新)'!$C$18,MATCH(X448,'玩法产出(新)'!$B$19:$B$25,0),6)*(1+V448)+OFFSET('玩法产出(新)'!$C$18,1+MATCH(X448,'玩法产出(新)'!$B$19:$B$25,0),6)*(V448))^AE448</f>
        <v>99.4082937119082</v>
      </c>
      <c r="U448" s="226">
        <f ca="1" t="shared" si="231"/>
        <v>0.12726825412672</v>
      </c>
      <c r="V448" s="226">
        <f ca="1">COUNTIF($X$124:$X448,X448)/(COUNTIF($X$124:$X$723,X448)+1)</f>
        <v>0.430927835051546</v>
      </c>
      <c r="W448" s="19">
        <v>30</v>
      </c>
      <c r="X448" s="19" t="s">
        <v>326</v>
      </c>
      <c r="Y448" s="19">
        <f t="shared" si="198"/>
        <v>33660</v>
      </c>
      <c r="Z448" s="19">
        <f ca="1" t="shared" si="213"/>
        <v>0.520171542525773</v>
      </c>
      <c r="AA448" s="282">
        <f ca="1" t="shared" si="214"/>
        <v>2.934890625</v>
      </c>
      <c r="AB448" s="282">
        <f ca="1" t="shared" si="215"/>
        <v>18</v>
      </c>
      <c r="AC448" s="282">
        <f ca="1" t="shared" si="216"/>
        <v>6.90675</v>
      </c>
      <c r="AD448" s="282">
        <f ca="1" t="shared" si="217"/>
        <v>1.7266875</v>
      </c>
      <c r="AE448" s="282">
        <f ca="1" t="shared" si="218"/>
        <v>0.431671875</v>
      </c>
      <c r="AF448" s="19" t="str">
        <f t="shared" si="219"/>
        <v>彩2</v>
      </c>
      <c r="AG448" s="19">
        <f>IFERROR(_xlfn.XLOOKUP(C448+1,[2]基因升级!$E$141:$E$500,[2]基因升级!$D$141:$D$500)-1,AG447)</f>
        <v>102</v>
      </c>
      <c r="AH448" s="19">
        <v>8</v>
      </c>
      <c r="AI448" s="19">
        <f t="shared" si="220"/>
        <v>10.5142500606751</v>
      </c>
      <c r="AJ448" s="19">
        <f t="shared" si="232"/>
        <v>0</v>
      </c>
      <c r="AK448" s="269">
        <v>2.0368</v>
      </c>
      <c r="AL448" s="287">
        <f t="shared" si="201"/>
        <v>14.6399999999999</v>
      </c>
      <c r="AM448" s="287">
        <f t="shared" si="202"/>
        <v>11.0399999999999</v>
      </c>
      <c r="AN448" s="287">
        <f t="shared" si="203"/>
        <v>7.44</v>
      </c>
      <c r="AO448" s="293"/>
      <c r="AP448" s="86"/>
      <c r="AQ448" s="19">
        <f t="shared" si="221"/>
        <v>2.69264131582352</v>
      </c>
      <c r="AR448" s="19">
        <f t="shared" si="222"/>
        <v>2.11055612508386</v>
      </c>
      <c r="AS448" s="19">
        <f t="shared" si="223"/>
        <v>1.65430394718825</v>
      </c>
      <c r="AT448" s="19">
        <f t="shared" si="224"/>
        <v>1</v>
      </c>
      <c r="AU448" s="19">
        <f t="shared" si="225"/>
        <v>1</v>
      </c>
      <c r="AV448" s="232">
        <f t="shared" si="205"/>
        <v>0.0399999999999991</v>
      </c>
      <c r="AW448" s="232">
        <f t="shared" si="206"/>
        <v>0.0399999999999991</v>
      </c>
      <c r="AX448" s="232">
        <f t="shared" si="207"/>
        <v>0.04</v>
      </c>
      <c r="AY448" s="232">
        <f t="shared" si="208"/>
        <v>0</v>
      </c>
      <c r="AZ448" s="232">
        <f t="shared" si="209"/>
        <v>0</v>
      </c>
    </row>
    <row r="449" spans="1:52">
      <c r="A449" s="269"/>
      <c r="C449" s="19">
        <v>326</v>
      </c>
      <c r="D449" s="86">
        <f ca="1" t="shared" si="233"/>
        <v>222.797793939931</v>
      </c>
      <c r="E449" s="251">
        <f ca="1" t="shared" si="210"/>
        <v>0.321903307070314</v>
      </c>
      <c r="F449" s="269">
        <f ca="1" t="shared" si="226"/>
        <v>466.598961109728</v>
      </c>
      <c r="G449" s="283">
        <f ca="1" t="shared" si="227"/>
        <v>150.199748656794</v>
      </c>
      <c r="H449" s="279">
        <f ca="1" t="shared" si="228"/>
        <v>0.194494715689842</v>
      </c>
      <c r="I449" s="269">
        <f ca="1">SUM($J$125:J449)/SUM($H$125:H449)</f>
        <v>0.522630585640981</v>
      </c>
      <c r="J449" s="284">
        <f t="shared" si="234"/>
        <v>0.0718377752706516</v>
      </c>
      <c r="K449" s="19">
        <f t="shared" si="197"/>
        <v>33500</v>
      </c>
      <c r="L449" s="269">
        <f t="shared" si="229"/>
        <v>2.67499999999997</v>
      </c>
      <c r="M449" s="226">
        <f ca="1" t="shared" si="230"/>
        <v>127.776</v>
      </c>
      <c r="N449" s="280">
        <f ca="1" t="shared" si="235"/>
        <v>0.122656940419176</v>
      </c>
      <c r="O449" s="226">
        <f t="shared" si="200"/>
        <v>52.8</v>
      </c>
      <c r="P449" s="19">
        <f ca="1" t="shared" si="204"/>
        <v>15.2</v>
      </c>
      <c r="Q449" s="226">
        <f ca="1" t="shared" si="199"/>
        <v>2.42</v>
      </c>
      <c r="R449" s="269">
        <f ca="1" t="shared" si="211"/>
        <v>0.724940607559784</v>
      </c>
      <c r="S449" s="266">
        <f ca="1" t="shared" si="212"/>
        <v>68.1044618088614</v>
      </c>
      <c r="T449" s="226">
        <f ca="1">(1+OFFSET('玩法产出(新)'!$C$18,MATCH(X449,'玩法产出(新)'!$B$19:$B$25,0),1)*(1-V449)+OFFSET('玩法产出(新)'!$C$18,1+MATCH(X449,'玩法产出(新)'!$B$19:$B$25,0),1)*(V449))^AA449*(1+OFFSET('玩法产出(新)'!$C$18,MATCH(X449,'玩法产出(新)'!$B$19:$B$25,0),3)*(1-V449)+OFFSET('玩法产出(新)'!$C$18,1+MATCH(X449,'玩法产出(新)'!$B$19:$B$25,0),3)*(V449))^AB449*(1+OFFSET('玩法产出(新)'!$C$18,MATCH(X449,'玩法产出(新)'!$B$19:$B$25,0),4)*(1-V449)+OFFSET('玩法产出(新)'!$C$18,1+MATCH(X449,'玩法产出(新)'!$B$19:$B$25,0),4)*(V449))^AC449*(1+OFFSET('玩法产出(新)'!$C$18,MATCH(X449,'玩法产出(新)'!$B$19:$B$25,0),5)*(1+V449)+OFFSET('玩法产出(新)'!$C$18,1+MATCH(X449,'玩法产出(新)'!$B$19:$B$25,5),1)*(V449))^AD449*(1+OFFSET('玩法产出(新)'!$C$18,MATCH(X449,'玩法产出(新)'!$B$19:$B$25,0),6)*(1+V449)+OFFSET('玩法产出(新)'!$C$18,1+MATCH(X449,'玩法产出(新)'!$B$19:$B$25,0),6)*(V449))^AE449</f>
        <v>100.268926463816</v>
      </c>
      <c r="U449" s="226">
        <f ca="1" t="shared" si="231"/>
        <v>0.127408591380486</v>
      </c>
      <c r="V449" s="226">
        <f ca="1">COUNTIF($X$124:$X449,X449)/(COUNTIF($X$124:$X$723,X449)+1)</f>
        <v>0.43298969072165</v>
      </c>
      <c r="W449" s="19">
        <v>30</v>
      </c>
      <c r="X449" s="19" t="s">
        <v>326</v>
      </c>
      <c r="Y449" s="19">
        <f t="shared" si="198"/>
        <v>33760</v>
      </c>
      <c r="Z449" s="19">
        <f ca="1" t="shared" si="213"/>
        <v>0.515561134020619</v>
      </c>
      <c r="AA449" s="282">
        <f ca="1" t="shared" si="214"/>
        <v>2.907525</v>
      </c>
      <c r="AB449" s="282">
        <f ca="1" t="shared" si="215"/>
        <v>18</v>
      </c>
      <c r="AC449" s="282">
        <f ca="1" t="shared" si="216"/>
        <v>6.9276</v>
      </c>
      <c r="AD449" s="282">
        <f ca="1" t="shared" si="217"/>
        <v>1.7319</v>
      </c>
      <c r="AE449" s="282">
        <f ca="1" t="shared" si="218"/>
        <v>0.432975</v>
      </c>
      <c r="AF449" s="19" t="str">
        <f t="shared" si="219"/>
        <v>彩2</v>
      </c>
      <c r="AG449" s="19">
        <f>IFERROR(_xlfn.XLOOKUP(C449+1,[2]基因升级!$E$141:$E$500,[2]基因升级!$D$141:$D$500)-1,AG448)</f>
        <v>102</v>
      </c>
      <c r="AH449" s="19">
        <v>8</v>
      </c>
      <c r="AI449" s="19">
        <f t="shared" si="220"/>
        <v>10.5142500606751</v>
      </c>
      <c r="AJ449" s="19">
        <f t="shared" si="232"/>
        <v>0</v>
      </c>
      <c r="AK449" s="269">
        <v>2.0368</v>
      </c>
      <c r="AL449" s="287">
        <f t="shared" si="201"/>
        <v>14.6799999999999</v>
      </c>
      <c r="AM449" s="287">
        <f t="shared" si="202"/>
        <v>11.0799999999999</v>
      </c>
      <c r="AN449" s="287">
        <f t="shared" si="203"/>
        <v>7.48</v>
      </c>
      <c r="AO449" s="293"/>
      <c r="AP449" s="86"/>
      <c r="AQ449" s="19">
        <f t="shared" si="221"/>
        <v>2.69993840448294</v>
      </c>
      <c r="AR449" s="19">
        <f t="shared" si="222"/>
        <v>2.11627575624116</v>
      </c>
      <c r="AS449" s="19">
        <f t="shared" si="223"/>
        <v>1.65878712974261</v>
      </c>
      <c r="AT449" s="19">
        <f t="shared" si="224"/>
        <v>1</v>
      </c>
      <c r="AU449" s="19">
        <f t="shared" si="225"/>
        <v>1</v>
      </c>
      <c r="AV449" s="232">
        <f t="shared" si="205"/>
        <v>0.0399999999999991</v>
      </c>
      <c r="AW449" s="232">
        <f t="shared" si="206"/>
        <v>0.0399999999999991</v>
      </c>
      <c r="AX449" s="232">
        <f t="shared" si="207"/>
        <v>0.04</v>
      </c>
      <c r="AY449" s="232">
        <f t="shared" si="208"/>
        <v>0</v>
      </c>
      <c r="AZ449" s="232">
        <f t="shared" si="209"/>
        <v>0</v>
      </c>
    </row>
    <row r="450" spans="1:52">
      <c r="A450" s="269"/>
      <c r="C450" s="19">
        <v>327</v>
      </c>
      <c r="D450" s="86">
        <f ca="1" t="shared" si="233"/>
        <v>223.118644629541</v>
      </c>
      <c r="E450" s="251">
        <f ca="1" t="shared" si="210"/>
        <v>0.320850689609641</v>
      </c>
      <c r="F450" s="269">
        <f ca="1" t="shared" si="226"/>
        <v>468.732202766451</v>
      </c>
      <c r="G450" s="283">
        <f ca="1" t="shared" si="227"/>
        <v>150.393050499862</v>
      </c>
      <c r="H450" s="279">
        <f ca="1" t="shared" si="228"/>
        <v>0.193301843067559</v>
      </c>
      <c r="I450" s="269">
        <f ca="1">SUM($J$125:J450)/SUM($H$125:H450)</f>
        <v>0.522421379992222</v>
      </c>
      <c r="J450" s="284">
        <f t="shared" si="234"/>
        <v>0.0716544362367557</v>
      </c>
      <c r="K450" s="19">
        <f t="shared" ref="K450:K513" si="236">K449+100</f>
        <v>33600</v>
      </c>
      <c r="L450" s="269">
        <f t="shared" si="229"/>
        <v>2.67999999999997</v>
      </c>
      <c r="M450" s="226">
        <f ca="1" t="shared" si="230"/>
        <v>128.832</v>
      </c>
      <c r="N450" s="280">
        <f ca="1" t="shared" si="235"/>
        <v>0.121647406830789</v>
      </c>
      <c r="O450" s="226">
        <f t="shared" si="200"/>
        <v>52.8</v>
      </c>
      <c r="P450" s="19">
        <f ca="1" t="shared" si="204"/>
        <v>15.4</v>
      </c>
      <c r="Q450" s="226">
        <f ca="1" t="shared" si="199"/>
        <v>2.44</v>
      </c>
      <c r="R450" s="269">
        <f ca="1" t="shared" si="211"/>
        <v>0.726298306245742</v>
      </c>
      <c r="S450" s="266">
        <f ca="1" t="shared" si="212"/>
        <v>68.2320106554035</v>
      </c>
      <c r="T450" s="226">
        <f ca="1">(1+OFFSET('玩法产出(新)'!$C$18,MATCH(X450,'玩法产出(新)'!$B$19:$B$25,0),1)*(1-V450)+OFFSET('玩法产出(新)'!$C$18,1+MATCH(X450,'玩法产出(新)'!$B$19:$B$25,0),1)*(V450))^AA450*(1+OFFSET('玩法产出(新)'!$C$18,MATCH(X450,'玩法产出(新)'!$B$19:$B$25,0),3)*(1-V450)+OFFSET('玩法产出(新)'!$C$18,1+MATCH(X450,'玩法产出(新)'!$B$19:$B$25,0),3)*(V450))^AB450*(1+OFFSET('玩法产出(新)'!$C$18,MATCH(X450,'玩法产出(新)'!$B$19:$B$25,0),4)*(1-V450)+OFFSET('玩法产出(新)'!$C$18,1+MATCH(X450,'玩法产出(新)'!$B$19:$B$25,0),4)*(V450))^AC450*(1+OFFSET('玩法产出(新)'!$C$18,MATCH(X450,'玩法产出(新)'!$B$19:$B$25,0),5)*(1+V450)+OFFSET('玩法产出(新)'!$C$18,1+MATCH(X450,'玩法产出(新)'!$B$19:$B$25,5),1)*(V450))^AD450*(1+OFFSET('玩法产出(新)'!$C$18,MATCH(X450,'玩法产出(新)'!$B$19:$B$25,0),6)*(1+V450)+OFFSET('玩法产出(新)'!$C$18,1+MATCH(X450,'玩法产出(新)'!$B$19:$B$25,0),6)*(V450))^AE450</f>
        <v>101.1379699326</v>
      </c>
      <c r="U450" s="226">
        <f ca="1" t="shared" si="231"/>
        <v>0.127548846542096</v>
      </c>
      <c r="V450" s="226">
        <f ca="1">COUNTIF($X$124:$X450,X450)/(COUNTIF($X$124:$X$723,X450)+1)</f>
        <v>0.435051546391753</v>
      </c>
      <c r="W450" s="19">
        <v>30</v>
      </c>
      <c r="X450" s="19" t="s">
        <v>326</v>
      </c>
      <c r="Y450" s="19">
        <f t="shared" si="198"/>
        <v>33860</v>
      </c>
      <c r="Z450" s="19">
        <f ca="1" t="shared" si="213"/>
        <v>0.510946211597939</v>
      </c>
      <c r="AA450" s="282">
        <f ca="1" t="shared" si="214"/>
        <v>2.880159375</v>
      </c>
      <c r="AB450" s="282">
        <f ca="1" t="shared" si="215"/>
        <v>18</v>
      </c>
      <c r="AC450" s="282">
        <f ca="1" t="shared" si="216"/>
        <v>6.94845</v>
      </c>
      <c r="AD450" s="282">
        <f ca="1" t="shared" si="217"/>
        <v>1.7371125</v>
      </c>
      <c r="AE450" s="282">
        <f ca="1" t="shared" si="218"/>
        <v>0.434278125</v>
      </c>
      <c r="AF450" s="19" t="str">
        <f t="shared" si="219"/>
        <v>彩2</v>
      </c>
      <c r="AG450" s="19">
        <f>IFERROR(_xlfn.XLOOKUP(C450+1,[2]基因升级!$E$141:$E$500,[2]基因升级!$D$141:$D$500)-1,AG449)</f>
        <v>102</v>
      </c>
      <c r="AH450" s="19">
        <v>8</v>
      </c>
      <c r="AI450" s="19">
        <f t="shared" si="220"/>
        <v>10.5142500606751</v>
      </c>
      <c r="AJ450" s="19">
        <f t="shared" si="232"/>
        <v>0</v>
      </c>
      <c r="AK450" s="269">
        <v>2.0368</v>
      </c>
      <c r="AL450" s="287">
        <f t="shared" si="201"/>
        <v>14.7199999999999</v>
      </c>
      <c r="AM450" s="287">
        <f t="shared" si="202"/>
        <v>11.1199999999999</v>
      </c>
      <c r="AN450" s="287">
        <f t="shared" si="203"/>
        <v>7.52</v>
      </c>
      <c r="AO450" s="293"/>
      <c r="AP450" s="86"/>
      <c r="AQ450" s="19">
        <f t="shared" si="221"/>
        <v>2.70725526833581</v>
      </c>
      <c r="AR450" s="19">
        <f t="shared" si="222"/>
        <v>2.1220108876641</v>
      </c>
      <c r="AS450" s="19">
        <f t="shared" si="223"/>
        <v>1.6632824617728</v>
      </c>
      <c r="AT450" s="19">
        <f t="shared" si="224"/>
        <v>1</v>
      </c>
      <c r="AU450" s="19">
        <f t="shared" si="225"/>
        <v>1</v>
      </c>
      <c r="AV450" s="232">
        <f t="shared" si="205"/>
        <v>0.0399999999999991</v>
      </c>
      <c r="AW450" s="232">
        <f t="shared" si="206"/>
        <v>0.0399999999999991</v>
      </c>
      <c r="AX450" s="232">
        <f t="shared" si="207"/>
        <v>0.04</v>
      </c>
      <c r="AY450" s="232">
        <f t="shared" si="208"/>
        <v>0</v>
      </c>
      <c r="AZ450" s="232">
        <f t="shared" si="209"/>
        <v>0</v>
      </c>
    </row>
    <row r="451" spans="1:52">
      <c r="A451" s="269"/>
      <c r="C451" s="19">
        <v>328</v>
      </c>
      <c r="D451" s="86">
        <f ca="1" t="shared" si="233"/>
        <v>223.438460077432</v>
      </c>
      <c r="E451" s="251">
        <f ca="1" t="shared" si="210"/>
        <v>0.319815447890938</v>
      </c>
      <c r="F451" s="269">
        <f ca="1" t="shared" si="226"/>
        <v>470.850229158999</v>
      </c>
      <c r="G451" s="283">
        <f ca="1" t="shared" si="227"/>
        <v>150.585176928036</v>
      </c>
      <c r="H451" s="279">
        <f ca="1" t="shared" si="228"/>
        <v>0.19212642817439</v>
      </c>
      <c r="I451" s="269">
        <f ca="1">SUM($J$125:J451)/SUM($H$125:H451)</f>
        <v>0.522215818624393</v>
      </c>
      <c r="J451" s="284">
        <f t="shared" si="234"/>
        <v>0.0714720724741085</v>
      </c>
      <c r="K451" s="19">
        <f t="shared" si="236"/>
        <v>33700</v>
      </c>
      <c r="L451" s="269">
        <f t="shared" si="229"/>
        <v>2.68499999999997</v>
      </c>
      <c r="M451" s="226">
        <f ca="1" t="shared" si="230"/>
        <v>129.888</v>
      </c>
      <c r="N451" s="280">
        <f ca="1" t="shared" si="235"/>
        <v>0.120654355700296</v>
      </c>
      <c r="O451" s="226">
        <f t="shared" si="200"/>
        <v>52.8</v>
      </c>
      <c r="P451" s="19">
        <f ca="1" t="shared" si="204"/>
        <v>15.6</v>
      </c>
      <c r="Q451" s="226">
        <f ca="1" t="shared" si="199"/>
        <v>2.46</v>
      </c>
      <c r="R451" s="269">
        <f ca="1" t="shared" si="211"/>
        <v>0.727657497010538</v>
      </c>
      <c r="S451" s="266">
        <f ca="1" t="shared" si="212"/>
        <v>68.3596996751201</v>
      </c>
      <c r="T451" s="226">
        <f ca="1">(1+OFFSET('玩法产出(新)'!$C$18,MATCH(X451,'玩法产出(新)'!$B$19:$B$25,0),1)*(1-V451)+OFFSET('玩法产出(新)'!$C$18,1+MATCH(X451,'玩法产出(新)'!$B$19:$B$25,0),1)*(V451))^AA451*(1+OFFSET('玩法产出(新)'!$C$18,MATCH(X451,'玩法产出(新)'!$B$19:$B$25,0),3)*(1-V451)+OFFSET('玩法产出(新)'!$C$18,1+MATCH(X451,'玩法产出(新)'!$B$19:$B$25,0),3)*(V451))^AB451*(1+OFFSET('玩法产出(新)'!$C$18,MATCH(X451,'玩法产出(新)'!$B$19:$B$25,0),4)*(1-V451)+OFFSET('玩法产出(新)'!$C$18,1+MATCH(X451,'玩法产出(新)'!$B$19:$B$25,0),4)*(V451))^AC451*(1+OFFSET('玩法产出(新)'!$C$18,MATCH(X451,'玩法产出(新)'!$B$19:$B$25,0),5)*(1+V451)+OFFSET('玩法产出(新)'!$C$18,1+MATCH(X451,'玩法产出(新)'!$B$19:$B$25,5),1)*(V451))^AD451*(1+OFFSET('玩法产出(新)'!$C$18,MATCH(X451,'玩法产出(新)'!$B$19:$B$25,0),6)*(1+V451)+OFFSET('玩法产出(新)'!$C$18,1+MATCH(X451,'玩法产出(新)'!$B$19:$B$25,0),6)*(V451))^AE451</f>
        <v>102.015513014199</v>
      </c>
      <c r="U451" s="226">
        <f ca="1" t="shared" si="231"/>
        <v>0.127689019716533</v>
      </c>
      <c r="V451" s="226">
        <f ca="1">COUNTIF($X$124:$X451,X451)/(COUNTIF($X$124:$X$723,X451)+1)</f>
        <v>0.437113402061856</v>
      </c>
      <c r="W451" s="19">
        <v>30</v>
      </c>
      <c r="X451" s="19" t="s">
        <v>326</v>
      </c>
      <c r="Y451" s="19">
        <f t="shared" ref="Y451:Y514" si="237">Y450+100</f>
        <v>33960</v>
      </c>
      <c r="Z451" s="19">
        <f ca="1" t="shared" si="213"/>
        <v>0.506326775257732</v>
      </c>
      <c r="AA451" s="282">
        <f ca="1" t="shared" si="214"/>
        <v>2.85279375</v>
      </c>
      <c r="AB451" s="282">
        <f ca="1" t="shared" si="215"/>
        <v>18</v>
      </c>
      <c r="AC451" s="282">
        <f ca="1" t="shared" si="216"/>
        <v>6.9693</v>
      </c>
      <c r="AD451" s="282">
        <f ca="1" t="shared" si="217"/>
        <v>1.742325</v>
      </c>
      <c r="AE451" s="282">
        <f ca="1" t="shared" si="218"/>
        <v>0.43558125</v>
      </c>
      <c r="AF451" s="19" t="str">
        <f t="shared" si="219"/>
        <v>彩2</v>
      </c>
      <c r="AG451" s="19">
        <f>IFERROR(_xlfn.XLOOKUP(C451+1,[2]基因升级!$E$141:$E$500,[2]基因升级!$D$141:$D$500)-1,AG450)</f>
        <v>103</v>
      </c>
      <c r="AH451" s="19">
        <v>8</v>
      </c>
      <c r="AI451" s="19">
        <f t="shared" si="220"/>
        <v>10.5142500606751</v>
      </c>
      <c r="AJ451" s="19">
        <f t="shared" si="232"/>
        <v>0</v>
      </c>
      <c r="AK451" s="269">
        <v>2.0368</v>
      </c>
      <c r="AL451" s="287">
        <f t="shared" si="201"/>
        <v>14.7599999999999</v>
      </c>
      <c r="AM451" s="287">
        <f t="shared" si="202"/>
        <v>11.1599999999999</v>
      </c>
      <c r="AN451" s="287">
        <f t="shared" si="203"/>
        <v>7.56</v>
      </c>
      <c r="AO451" s="293"/>
      <c r="AP451" s="86"/>
      <c r="AQ451" s="19">
        <f t="shared" si="221"/>
        <v>2.71459196097312</v>
      </c>
      <c r="AR451" s="19">
        <f t="shared" si="222"/>
        <v>2.12776156135857</v>
      </c>
      <c r="AS451" s="19">
        <f t="shared" si="223"/>
        <v>1.66778997620404</v>
      </c>
      <c r="AT451" s="19">
        <f t="shared" si="224"/>
        <v>1</v>
      </c>
      <c r="AU451" s="19">
        <f t="shared" si="225"/>
        <v>1</v>
      </c>
      <c r="AV451" s="232">
        <f t="shared" si="205"/>
        <v>0.0399999999999991</v>
      </c>
      <c r="AW451" s="232">
        <f t="shared" si="206"/>
        <v>0.0399999999999991</v>
      </c>
      <c r="AX451" s="232">
        <f t="shared" si="207"/>
        <v>0.04</v>
      </c>
      <c r="AY451" s="232">
        <f t="shared" si="208"/>
        <v>0</v>
      </c>
      <c r="AZ451" s="232">
        <f t="shared" si="209"/>
        <v>0</v>
      </c>
    </row>
    <row r="452" spans="1:52">
      <c r="A452" s="269"/>
      <c r="C452" s="19">
        <v>329</v>
      </c>
      <c r="D452" s="86">
        <f ca="1" t="shared" si="233"/>
        <v>223.757257251026</v>
      </c>
      <c r="E452" s="251">
        <f ca="1" t="shared" si="210"/>
        <v>0.318797173594118</v>
      </c>
      <c r="F452" s="269">
        <f ca="1" t="shared" si="226"/>
        <v>472.953204982252</v>
      </c>
      <c r="G452" s="283">
        <f ca="1" t="shared" si="227"/>
        <v>150.776144990622</v>
      </c>
      <c r="H452" s="279">
        <f ca="1" t="shared" si="228"/>
        <v>0.190968062585483</v>
      </c>
      <c r="I452" s="269">
        <f ca="1">SUM($J$125:J452)/SUM($H$125:H452)</f>
        <v>0.52201382511771</v>
      </c>
      <c r="J452" s="284">
        <f t="shared" si="234"/>
        <v>0.0712906759502232</v>
      </c>
      <c r="K452" s="19">
        <f t="shared" si="236"/>
        <v>33800</v>
      </c>
      <c r="L452" s="269">
        <f t="shared" si="229"/>
        <v>2.68999999999997</v>
      </c>
      <c r="M452" s="226">
        <f ca="1" t="shared" si="230"/>
        <v>130.944</v>
      </c>
      <c r="N452" s="280">
        <f ca="1" t="shared" si="235"/>
        <v>0.11967738663526</v>
      </c>
      <c r="O452" s="226">
        <f t="shared" si="200"/>
        <v>52.8</v>
      </c>
      <c r="P452" s="19">
        <f ca="1" t="shared" si="204"/>
        <v>15.8</v>
      </c>
      <c r="Q452" s="226">
        <f ca="1" t="shared" si="199"/>
        <v>2.48</v>
      </c>
      <c r="R452" s="269">
        <f ca="1" t="shared" si="211"/>
        <v>0.729018178982572</v>
      </c>
      <c r="S452" s="266">
        <f ca="1" t="shared" si="212"/>
        <v>68.4875287861287</v>
      </c>
      <c r="T452" s="226">
        <f ca="1">(1+OFFSET('玩法产出(新)'!$C$18,MATCH(X452,'玩法产出(新)'!$B$19:$B$25,0),1)*(1-V452)+OFFSET('玩法产出(新)'!$C$18,1+MATCH(X452,'玩法产出(新)'!$B$19:$B$25,0),1)*(V452))^AA452*(1+OFFSET('玩法产出(新)'!$C$18,MATCH(X452,'玩法产出(新)'!$B$19:$B$25,0),3)*(1-V452)+OFFSET('玩法产出(新)'!$C$18,1+MATCH(X452,'玩法产出(新)'!$B$19:$B$25,0),3)*(V452))^AB452*(1+OFFSET('玩法产出(新)'!$C$18,MATCH(X452,'玩法产出(新)'!$B$19:$B$25,0),4)*(1-V452)+OFFSET('玩法产出(新)'!$C$18,1+MATCH(X452,'玩法产出(新)'!$B$19:$B$25,0),4)*(V452))^AC452*(1+OFFSET('玩法产出(新)'!$C$18,MATCH(X452,'玩法产出(新)'!$B$19:$B$25,0),5)*(1+V452)+OFFSET('玩法产出(新)'!$C$18,1+MATCH(X452,'玩法产出(新)'!$B$19:$B$25,5),1)*(V452))^AD452*(1+OFFSET('玩法产出(新)'!$C$18,MATCH(X452,'玩法产出(新)'!$B$19:$B$25,0),6)*(1+V452)+OFFSET('玩法产出(新)'!$C$18,1+MATCH(X452,'玩法产出(新)'!$B$19:$B$25,0),6)*(V452))^AE452</f>
        <v>102.901645604462</v>
      </c>
      <c r="U452" s="226">
        <f ca="1" t="shared" si="231"/>
        <v>0.127829111008635</v>
      </c>
      <c r="V452" s="226">
        <f ca="1">COUNTIF($X$124:$X452,X452)/(COUNTIF($X$124:$X$723,X452)+1)</f>
        <v>0.439175257731959</v>
      </c>
      <c r="W452" s="19">
        <v>30</v>
      </c>
      <c r="X452" s="19" t="s">
        <v>326</v>
      </c>
      <c r="Y452" s="19">
        <f t="shared" si="237"/>
        <v>34060</v>
      </c>
      <c r="Z452" s="19">
        <f ca="1" t="shared" si="213"/>
        <v>0.501702825</v>
      </c>
      <c r="AA452" s="282">
        <f ca="1" t="shared" si="214"/>
        <v>2.825428125</v>
      </c>
      <c r="AB452" s="282">
        <f ca="1" t="shared" si="215"/>
        <v>18</v>
      </c>
      <c r="AC452" s="282">
        <f ca="1" t="shared" si="216"/>
        <v>6.99015</v>
      </c>
      <c r="AD452" s="282">
        <f ca="1" t="shared" si="217"/>
        <v>1.7475375</v>
      </c>
      <c r="AE452" s="282">
        <f ca="1" t="shared" si="218"/>
        <v>0.436884375</v>
      </c>
      <c r="AF452" s="19" t="str">
        <f t="shared" si="219"/>
        <v>彩2</v>
      </c>
      <c r="AG452" s="19">
        <f>IFERROR(_xlfn.XLOOKUP(C452+1,[2]基因升级!$E$141:$E$500,[2]基因升级!$D$141:$D$500)-1,AG451)</f>
        <v>103</v>
      </c>
      <c r="AH452" s="19">
        <v>8</v>
      </c>
      <c r="AI452" s="19">
        <f t="shared" si="220"/>
        <v>10.5142500606751</v>
      </c>
      <c r="AJ452" s="19">
        <f t="shared" si="232"/>
        <v>0</v>
      </c>
      <c r="AK452" s="269">
        <v>2.0368</v>
      </c>
      <c r="AL452" s="287">
        <f t="shared" si="201"/>
        <v>14.7999999999999</v>
      </c>
      <c r="AM452" s="287">
        <f t="shared" si="202"/>
        <v>11.1999999999999</v>
      </c>
      <c r="AN452" s="287">
        <f t="shared" si="203"/>
        <v>7.6</v>
      </c>
      <c r="AO452" s="293"/>
      <c r="AP452" s="86"/>
      <c r="AQ452" s="19">
        <f t="shared" si="221"/>
        <v>2.72194853613112</v>
      </c>
      <c r="AR452" s="19">
        <f t="shared" si="222"/>
        <v>2.1335278194443</v>
      </c>
      <c r="AS452" s="19">
        <f t="shared" si="223"/>
        <v>1.67230970605077</v>
      </c>
      <c r="AT452" s="19">
        <f t="shared" si="224"/>
        <v>1</v>
      </c>
      <c r="AU452" s="19">
        <f t="shared" si="225"/>
        <v>1</v>
      </c>
      <c r="AV452" s="232">
        <f t="shared" si="205"/>
        <v>0.0399999999999991</v>
      </c>
      <c r="AW452" s="232">
        <f t="shared" si="206"/>
        <v>0.0399999999999991</v>
      </c>
      <c r="AX452" s="232">
        <f t="shared" si="207"/>
        <v>0.04</v>
      </c>
      <c r="AY452" s="232">
        <f t="shared" si="208"/>
        <v>0</v>
      </c>
      <c r="AZ452" s="232">
        <f t="shared" si="209"/>
        <v>0</v>
      </c>
    </row>
    <row r="453" spans="1:52">
      <c r="A453" s="269"/>
      <c r="C453" s="19">
        <v>330</v>
      </c>
      <c r="D453" s="86">
        <f ca="1" t="shared" si="233"/>
        <v>224.075052722379</v>
      </c>
      <c r="E453" s="251">
        <f ca="1" t="shared" si="210"/>
        <v>0.317795471353514</v>
      </c>
      <c r="F453" s="269">
        <f ca="1" t="shared" si="226"/>
        <v>475.041292119352</v>
      </c>
      <c r="G453" s="283">
        <f ca="1" t="shared" si="227"/>
        <v>150.965971341452</v>
      </c>
      <c r="H453" s="279">
        <f ca="1" t="shared" si="228"/>
        <v>0.189826350830515</v>
      </c>
      <c r="I453" s="269">
        <f ca="1">SUM($J$125:J453)/SUM($H$125:H453)</f>
        <v>0.521815325149839</v>
      </c>
      <c r="J453" s="284">
        <f t="shared" si="234"/>
        <v>0.0711102387229232</v>
      </c>
      <c r="K453" s="19">
        <f t="shared" si="236"/>
        <v>33900</v>
      </c>
      <c r="L453" s="269">
        <f t="shared" si="229"/>
        <v>2.69499999999997</v>
      </c>
      <c r="M453" s="226">
        <f ca="1" t="shared" si="230"/>
        <v>132</v>
      </c>
      <c r="N453" s="280">
        <f ca="1" t="shared" si="235"/>
        <v>0.118716112107577</v>
      </c>
      <c r="O453" s="226">
        <f t="shared" si="200"/>
        <v>52.8</v>
      </c>
      <c r="P453" s="19">
        <f ca="1" t="shared" si="204"/>
        <v>16</v>
      </c>
      <c r="Q453" s="226">
        <f ca="1" t="shared" si="199"/>
        <v>2.5</v>
      </c>
      <c r="R453" s="269">
        <f ca="1" t="shared" si="211"/>
        <v>0.730380351291359</v>
      </c>
      <c r="S453" s="266">
        <f ca="1" t="shared" si="212"/>
        <v>68.6154979066517</v>
      </c>
      <c r="T453" s="226">
        <f ca="1">(1+OFFSET('玩法产出(新)'!$C$18,MATCH(X453,'玩法产出(新)'!$B$19:$B$25,0),1)*(1-V453)+OFFSET('玩法产出(新)'!$C$18,1+MATCH(X453,'玩法产出(新)'!$B$19:$B$25,0),1)*(V453))^AA453*(1+OFFSET('玩法产出(新)'!$C$18,MATCH(X453,'玩法产出(新)'!$B$19:$B$25,0),3)*(1-V453)+OFFSET('玩法产出(新)'!$C$18,1+MATCH(X453,'玩法产出(新)'!$B$19:$B$25,0),3)*(V453))^AB453*(1+OFFSET('玩法产出(新)'!$C$18,MATCH(X453,'玩法产出(新)'!$B$19:$B$25,0),4)*(1-V453)+OFFSET('玩法产出(新)'!$C$18,1+MATCH(X453,'玩法产出(新)'!$B$19:$B$25,0),4)*(V453))^AC453*(1+OFFSET('玩法产出(新)'!$C$18,MATCH(X453,'玩法产出(新)'!$B$19:$B$25,0),5)*(1+V453)+OFFSET('玩法产出(新)'!$C$18,1+MATCH(X453,'玩法产出(新)'!$B$19:$B$25,5),1)*(V453))^AD453*(1+OFFSET('玩法产出(新)'!$C$18,MATCH(X453,'玩法产出(新)'!$B$19:$B$25,0),6)*(1+V453)+OFFSET('玩法产出(新)'!$C$18,1+MATCH(X453,'玩法产出(新)'!$B$19:$B$25,0),6)*(V453))^AE453</f>
        <v>103.796458610989</v>
      </c>
      <c r="U453" s="226">
        <f ca="1" t="shared" si="231"/>
        <v>0.127969120523014</v>
      </c>
      <c r="V453" s="226">
        <f ca="1">COUNTIF($X$124:$X453,X453)/(COUNTIF($X$124:$X$723,X453)+1)</f>
        <v>0.441237113402062</v>
      </c>
      <c r="W453" s="19">
        <v>30</v>
      </c>
      <c r="X453" s="19" t="s">
        <v>326</v>
      </c>
      <c r="Y453" s="19">
        <f t="shared" si="237"/>
        <v>34160</v>
      </c>
      <c r="Z453" s="19">
        <f ca="1" t="shared" si="213"/>
        <v>0.497074360824742</v>
      </c>
      <c r="AA453" s="282">
        <f ca="1" t="shared" si="214"/>
        <v>2.7980625</v>
      </c>
      <c r="AB453" s="282">
        <f ca="1" t="shared" si="215"/>
        <v>18</v>
      </c>
      <c r="AC453" s="282">
        <f ca="1" t="shared" si="216"/>
        <v>7.011</v>
      </c>
      <c r="AD453" s="282">
        <f ca="1" t="shared" si="217"/>
        <v>1.75275</v>
      </c>
      <c r="AE453" s="282">
        <f ca="1" t="shared" si="218"/>
        <v>0.4381875</v>
      </c>
      <c r="AF453" s="19" t="str">
        <f t="shared" si="219"/>
        <v>彩2</v>
      </c>
      <c r="AG453" s="19">
        <f>IFERROR(_xlfn.XLOOKUP(C453+1,[2]基因升级!$E$141:$E$500,[2]基因升级!$D$141:$D$500)-1,AG452)</f>
        <v>103</v>
      </c>
      <c r="AH453" s="19">
        <v>8</v>
      </c>
      <c r="AI453" s="19">
        <f t="shared" si="220"/>
        <v>10.5142500606751</v>
      </c>
      <c r="AJ453" s="19">
        <f t="shared" si="232"/>
        <v>0</v>
      </c>
      <c r="AK453" s="269">
        <v>2.0368</v>
      </c>
      <c r="AL453" s="287">
        <f t="shared" si="201"/>
        <v>14.8399999999999</v>
      </c>
      <c r="AM453" s="287">
        <f t="shared" si="202"/>
        <v>11.2399999999999</v>
      </c>
      <c r="AN453" s="287">
        <f t="shared" si="203"/>
        <v>7.64</v>
      </c>
      <c r="AO453" s="287">
        <f t="shared" ref="AO453:AO516" si="238">AN363</f>
        <v>1.5</v>
      </c>
      <c r="AP453" s="86"/>
      <c r="AQ453" s="19">
        <f t="shared" si="221"/>
        <v>2.72932504769164</v>
      </c>
      <c r="AR453" s="19">
        <f t="shared" si="222"/>
        <v>2.13930970415517</v>
      </c>
      <c r="AS453" s="19">
        <f t="shared" si="223"/>
        <v>1.6768416844169</v>
      </c>
      <c r="AT453" s="19">
        <f t="shared" si="224"/>
        <v>1.10681660630838</v>
      </c>
      <c r="AU453" s="19">
        <f t="shared" si="225"/>
        <v>1</v>
      </c>
      <c r="AV453" s="232">
        <f t="shared" si="205"/>
        <v>0.0399999999999991</v>
      </c>
      <c r="AW453" s="232">
        <f t="shared" si="206"/>
        <v>0.0399999999999991</v>
      </c>
      <c r="AX453" s="232">
        <f t="shared" si="207"/>
        <v>0.04</v>
      </c>
      <c r="AY453" s="232">
        <f t="shared" si="208"/>
        <v>1.5</v>
      </c>
      <c r="AZ453" s="232">
        <f t="shared" si="209"/>
        <v>0</v>
      </c>
    </row>
    <row r="454" spans="1:52">
      <c r="A454" s="269"/>
      <c r="C454" s="19">
        <v>331</v>
      </c>
      <c r="D454" s="86">
        <f ca="1" t="shared" si="233"/>
        <v>224.391862680623</v>
      </c>
      <c r="E454" s="251">
        <f ca="1" t="shared" si="210"/>
        <v>0.316809958243845</v>
      </c>
      <c r="F454" s="269">
        <f ca="1" t="shared" si="226"/>
        <v>477.114649707412</v>
      </c>
      <c r="G454" s="283">
        <f ca="1" t="shared" si="227"/>
        <v>151.154672251332</v>
      </c>
      <c r="H454" s="279">
        <f ca="1" t="shared" si="228"/>
        <v>0.188700909879884</v>
      </c>
      <c r="I454" s="269">
        <f ca="1">SUM($J$125:J454)/SUM($H$125:H454)</f>
        <v>0.521620246423312</v>
      </c>
      <c r="J454" s="284">
        <f t="shared" si="234"/>
        <v>0.0709307529389633</v>
      </c>
      <c r="K454" s="19">
        <f t="shared" si="236"/>
        <v>34000</v>
      </c>
      <c r="L454" s="269">
        <f t="shared" si="229"/>
        <v>2.69999999999996</v>
      </c>
      <c r="M454" s="226">
        <f ca="1" t="shared" si="230"/>
        <v>133.056</v>
      </c>
      <c r="N454" s="280">
        <f ca="1" t="shared" si="235"/>
        <v>0.117770156940978</v>
      </c>
      <c r="O454" s="226">
        <f t="shared" si="200"/>
        <v>52.8</v>
      </c>
      <c r="P454" s="19">
        <f ca="1" t="shared" si="204"/>
        <v>16.2</v>
      </c>
      <c r="Q454" s="226">
        <f ca="1" t="shared" si="199"/>
        <v>2.52</v>
      </c>
      <c r="R454" s="269">
        <f ca="1" t="shared" si="211"/>
        <v>0.731744013067521</v>
      </c>
      <c r="S454" s="266">
        <f ca="1" t="shared" si="212"/>
        <v>68.7436069550156</v>
      </c>
      <c r="T454" s="226">
        <f ca="1">(1+OFFSET('玩法产出(新)'!$C$18,MATCH(X454,'玩法产出(新)'!$B$19:$B$25,0),1)*(1-V454)+OFFSET('玩法产出(新)'!$C$18,1+MATCH(X454,'玩法产出(新)'!$B$19:$B$25,0),1)*(V454))^AA454*(1+OFFSET('玩法产出(新)'!$C$18,MATCH(X454,'玩法产出(新)'!$B$19:$B$25,0),3)*(1-V454)+OFFSET('玩法产出(新)'!$C$18,1+MATCH(X454,'玩法产出(新)'!$B$19:$B$25,0),3)*(V454))^AB454*(1+OFFSET('玩法产出(新)'!$C$18,MATCH(X454,'玩法产出(新)'!$B$19:$B$25,0),4)*(1-V454)+OFFSET('玩法产出(新)'!$C$18,1+MATCH(X454,'玩法产出(新)'!$B$19:$B$25,0),4)*(V454))^AC454*(1+OFFSET('玩法产出(新)'!$C$18,MATCH(X454,'玩法产出(新)'!$B$19:$B$25,0),5)*(1+V454)+OFFSET('玩法产出(新)'!$C$18,1+MATCH(X454,'玩法产出(新)'!$B$19:$B$25,5),1)*(V454))^AD454*(1+OFFSET('玩法产出(新)'!$C$18,MATCH(X454,'玩法产出(新)'!$B$19:$B$25,0),6)*(1+V454)+OFFSET('玩法产出(新)'!$C$18,1+MATCH(X454,'玩法产出(新)'!$B$19:$B$25,0),6)*(V454))^AE454</f>
        <v>104.70004396511</v>
      </c>
      <c r="U454" s="226">
        <f ca="1" t="shared" si="231"/>
        <v>0.128109048363904</v>
      </c>
      <c r="V454" s="226">
        <f ca="1">COUNTIF($X$124:$X454,X454)/(COUNTIF($X$124:$X$723,X454)+1)</f>
        <v>0.443298969072165</v>
      </c>
      <c r="W454" s="19">
        <v>30</v>
      </c>
      <c r="X454" s="19" t="s">
        <v>326</v>
      </c>
      <c r="Y454" s="19">
        <f t="shared" si="237"/>
        <v>34260</v>
      </c>
      <c r="Z454" s="19">
        <f ca="1" t="shared" si="213"/>
        <v>0.492441382731959</v>
      </c>
      <c r="AA454" s="282">
        <f ca="1" t="shared" si="214"/>
        <v>2.770696875</v>
      </c>
      <c r="AB454" s="282">
        <f ca="1" t="shared" si="215"/>
        <v>18</v>
      </c>
      <c r="AC454" s="282">
        <f ca="1" t="shared" si="216"/>
        <v>7.03185</v>
      </c>
      <c r="AD454" s="282">
        <f ca="1" t="shared" si="217"/>
        <v>1.7579625</v>
      </c>
      <c r="AE454" s="282">
        <f ca="1" t="shared" si="218"/>
        <v>0.439490625</v>
      </c>
      <c r="AF454" s="19" t="str">
        <f t="shared" si="219"/>
        <v>彩2</v>
      </c>
      <c r="AG454" s="19">
        <f>IFERROR(_xlfn.XLOOKUP(C454+1,[2]基因升级!$E$141:$E$500,[2]基因升级!$D$141:$D$500)-1,AG453)</f>
        <v>103</v>
      </c>
      <c r="AH454" s="19">
        <v>8</v>
      </c>
      <c r="AI454" s="19">
        <f t="shared" si="220"/>
        <v>10.5142500606751</v>
      </c>
      <c r="AJ454" s="19">
        <f t="shared" si="232"/>
        <v>0</v>
      </c>
      <c r="AK454" s="269">
        <v>2.0368</v>
      </c>
      <c r="AL454" s="287">
        <f t="shared" si="201"/>
        <v>14.8799999999999</v>
      </c>
      <c r="AM454" s="287">
        <f t="shared" si="202"/>
        <v>11.2799999999999</v>
      </c>
      <c r="AN454" s="287">
        <f t="shared" si="203"/>
        <v>7.68</v>
      </c>
      <c r="AO454" s="287">
        <f t="shared" si="238"/>
        <v>1.9</v>
      </c>
      <c r="AP454" s="86"/>
      <c r="AQ454" s="19">
        <f t="shared" si="221"/>
        <v>2.73672154968259</v>
      </c>
      <c r="AR454" s="19">
        <f t="shared" si="222"/>
        <v>2.14510725783952</v>
      </c>
      <c r="AS454" s="19">
        <f t="shared" si="223"/>
        <v>1.68138594449606</v>
      </c>
      <c r="AT454" s="19">
        <f t="shared" si="224"/>
        <v>1.13717990733817</v>
      </c>
      <c r="AU454" s="19">
        <f t="shared" si="225"/>
        <v>1</v>
      </c>
      <c r="AV454" s="232">
        <f t="shared" si="205"/>
        <v>0.0399999999999991</v>
      </c>
      <c r="AW454" s="232">
        <f t="shared" si="206"/>
        <v>0.0399999999999991</v>
      </c>
      <c r="AX454" s="232">
        <f t="shared" si="207"/>
        <v>0.04</v>
      </c>
      <c r="AY454" s="232">
        <f t="shared" si="208"/>
        <v>0.4</v>
      </c>
      <c r="AZ454" s="232">
        <f t="shared" si="209"/>
        <v>0</v>
      </c>
    </row>
    <row r="455" spans="1:52">
      <c r="A455" s="269"/>
      <c r="C455" s="19">
        <v>332</v>
      </c>
      <c r="D455" s="86">
        <f ca="1" t="shared" si="233"/>
        <v>224.707702943914</v>
      </c>
      <c r="E455" s="251">
        <f ca="1" t="shared" si="210"/>
        <v>0.315840263291127</v>
      </c>
      <c r="F455" s="269">
        <f ca="1" t="shared" si="226"/>
        <v>479.173434200462</v>
      </c>
      <c r="G455" s="283">
        <f ca="1" t="shared" si="227"/>
        <v>151.342263619988</v>
      </c>
      <c r="H455" s="279">
        <f ca="1" t="shared" si="228"/>
        <v>0.18759136865549</v>
      </c>
      <c r="I455" s="269">
        <f ca="1">SUM($J$125:J455)/SUM($H$125:H455)</f>
        <v>0.521428518595992</v>
      </c>
      <c r="J455" s="284">
        <f t="shared" si="234"/>
        <v>0.0707522108326373</v>
      </c>
      <c r="K455" s="19">
        <f t="shared" si="236"/>
        <v>34100</v>
      </c>
      <c r="L455" s="269">
        <f t="shared" si="229"/>
        <v>2.70499999999996</v>
      </c>
      <c r="M455" s="226">
        <f ca="1" t="shared" si="230"/>
        <v>134.112</v>
      </c>
      <c r="N455" s="280">
        <f ca="1" t="shared" si="235"/>
        <v>0.116839157822866</v>
      </c>
      <c r="O455" s="226">
        <f t="shared" si="200"/>
        <v>52.8</v>
      </c>
      <c r="P455" s="19">
        <f ca="1" t="shared" si="204"/>
        <v>16.4</v>
      </c>
      <c r="Q455" s="226">
        <f ca="1" t="shared" si="199"/>
        <v>2.54</v>
      </c>
      <c r="R455" s="269">
        <f ca="1" t="shared" si="211"/>
        <v>0.733109163442792</v>
      </c>
      <c r="S455" s="266">
        <f ca="1" t="shared" si="212"/>
        <v>68.8718558496512</v>
      </c>
      <c r="T455" s="226">
        <f ca="1">(1+OFFSET('玩法产出(新)'!$C$18,MATCH(X455,'玩法产出(新)'!$B$19:$B$25,0),1)*(1-V455)+OFFSET('玩法产出(新)'!$C$18,1+MATCH(X455,'玩法产出(新)'!$B$19:$B$25,0),1)*(V455))^AA455*(1+OFFSET('玩法产出(新)'!$C$18,MATCH(X455,'玩法产出(新)'!$B$19:$B$25,0),3)*(1-V455)+OFFSET('玩法产出(新)'!$C$18,1+MATCH(X455,'玩法产出(新)'!$B$19:$B$25,0),3)*(V455))^AB455*(1+OFFSET('玩法产出(新)'!$C$18,MATCH(X455,'玩法产出(新)'!$B$19:$B$25,0),4)*(1-V455)+OFFSET('玩法产出(新)'!$C$18,1+MATCH(X455,'玩法产出(新)'!$B$19:$B$25,0),4)*(V455))^AC455*(1+OFFSET('玩法产出(新)'!$C$18,MATCH(X455,'玩法产出(新)'!$B$19:$B$25,0),5)*(1+V455)+OFFSET('玩法产出(新)'!$C$18,1+MATCH(X455,'玩法产出(新)'!$B$19:$B$25,5),1)*(V455))^AD455*(1+OFFSET('玩法产出(新)'!$C$18,MATCH(X455,'玩法产出(新)'!$B$19:$B$25,0),6)*(1+V455)+OFFSET('玩法产出(新)'!$C$18,1+MATCH(X455,'玩法产出(新)'!$B$19:$B$25,0),6)*(V455))^AE455</f>
        <v>105.612494634023</v>
      </c>
      <c r="U455" s="226">
        <f ca="1" t="shared" si="231"/>
        <v>0.128248894635624</v>
      </c>
      <c r="V455" s="226">
        <f ca="1">COUNTIF($X$124:$X455,X455)/(COUNTIF($X$124:$X$723,X455)+1)</f>
        <v>0.445360824742268</v>
      </c>
      <c r="W455" s="19">
        <v>30</v>
      </c>
      <c r="X455" s="19" t="s">
        <v>326</v>
      </c>
      <c r="Y455" s="19">
        <f t="shared" si="237"/>
        <v>34360</v>
      </c>
      <c r="Z455" s="19">
        <f ca="1" t="shared" si="213"/>
        <v>0.487803890721649</v>
      </c>
      <c r="AA455" s="282">
        <f ca="1" t="shared" si="214"/>
        <v>2.74333125</v>
      </c>
      <c r="AB455" s="282">
        <f ca="1" t="shared" si="215"/>
        <v>18</v>
      </c>
      <c r="AC455" s="282">
        <f ca="1" t="shared" si="216"/>
        <v>7.0527</v>
      </c>
      <c r="AD455" s="282">
        <f ca="1" t="shared" si="217"/>
        <v>1.763175</v>
      </c>
      <c r="AE455" s="282">
        <f ca="1" t="shared" si="218"/>
        <v>0.44079375</v>
      </c>
      <c r="AF455" s="19" t="str">
        <f t="shared" si="219"/>
        <v>彩2</v>
      </c>
      <c r="AG455" s="19">
        <f>IFERROR(_xlfn.XLOOKUP(C455+1,[2]基因升级!$E$141:$E$500,[2]基因升级!$D$141:$D$500)-1,AG454)</f>
        <v>103</v>
      </c>
      <c r="AH455" s="19">
        <v>8</v>
      </c>
      <c r="AI455" s="19">
        <f t="shared" si="220"/>
        <v>10.5142500606751</v>
      </c>
      <c r="AJ455" s="19">
        <f t="shared" si="232"/>
        <v>0</v>
      </c>
      <c r="AK455" s="269">
        <v>2.0368</v>
      </c>
      <c r="AL455" s="287">
        <f t="shared" si="201"/>
        <v>14.9199999999999</v>
      </c>
      <c r="AM455" s="287">
        <f t="shared" si="202"/>
        <v>11.3199999999999</v>
      </c>
      <c r="AN455" s="287">
        <f t="shared" si="203"/>
        <v>7.72</v>
      </c>
      <c r="AO455" s="287">
        <f t="shared" si="238"/>
        <v>2.3</v>
      </c>
      <c r="AP455" s="86"/>
      <c r="AQ455" s="19">
        <f t="shared" si="221"/>
        <v>2.74413809627824</v>
      </c>
      <c r="AR455" s="19">
        <f t="shared" si="222"/>
        <v>2.15092052296044</v>
      </c>
      <c r="AS455" s="19">
        <f t="shared" si="223"/>
        <v>1.68594251957184</v>
      </c>
      <c r="AT455" s="19">
        <f t="shared" si="224"/>
        <v>1.16837616483443</v>
      </c>
      <c r="AU455" s="19">
        <f t="shared" si="225"/>
        <v>1</v>
      </c>
      <c r="AV455" s="232">
        <f t="shared" si="205"/>
        <v>0.0399999999999991</v>
      </c>
      <c r="AW455" s="232">
        <f t="shared" si="206"/>
        <v>0.0399999999999991</v>
      </c>
      <c r="AX455" s="232">
        <f t="shared" si="207"/>
        <v>0.04</v>
      </c>
      <c r="AY455" s="232">
        <f t="shared" si="208"/>
        <v>0.4</v>
      </c>
      <c r="AZ455" s="232">
        <f t="shared" si="209"/>
        <v>0</v>
      </c>
    </row>
    <row r="456" spans="1:52">
      <c r="A456" s="269"/>
      <c r="C456" s="19">
        <v>333</v>
      </c>
      <c r="D456" s="86">
        <f ca="1" t="shared" si="233"/>
        <v>225.02258897092</v>
      </c>
      <c r="E456" s="251">
        <f ca="1" t="shared" si="210"/>
        <v>0.314886027005801</v>
      </c>
      <c r="F456" s="269">
        <f ca="1" t="shared" si="226"/>
        <v>481.217799431791</v>
      </c>
      <c r="G456" s="283">
        <f ca="1" t="shared" si="227"/>
        <v>151.528760987551</v>
      </c>
      <c r="H456" s="279">
        <f ca="1" t="shared" si="228"/>
        <v>0.186497367563646</v>
      </c>
      <c r="I456" s="269">
        <f ca="1">SUM($J$125:J456)/SUM($H$125:H456)</f>
        <v>0.521240073214433</v>
      </c>
      <c r="J456" s="284">
        <f t="shared" si="234"/>
        <v>0.070574604724797</v>
      </c>
      <c r="K456" s="19">
        <f t="shared" si="236"/>
        <v>34200</v>
      </c>
      <c r="L456" s="269">
        <f t="shared" si="229"/>
        <v>2.70999999999996</v>
      </c>
      <c r="M456" s="226">
        <f ca="1" t="shared" si="230"/>
        <v>135.168</v>
      </c>
      <c r="N456" s="280">
        <f ca="1" t="shared" si="235"/>
        <v>0.115922762838821</v>
      </c>
      <c r="O456" s="226">
        <f t="shared" si="200"/>
        <v>52.8</v>
      </c>
      <c r="P456" s="19">
        <f ca="1" t="shared" si="204"/>
        <v>16.6</v>
      </c>
      <c r="Q456" s="226">
        <f ca="1" t="shared" si="199"/>
        <v>2.56</v>
      </c>
      <c r="R456" s="269">
        <f ca="1" t="shared" si="211"/>
        <v>0.734475801550014</v>
      </c>
      <c r="S456" s="266">
        <f ca="1" t="shared" si="212"/>
        <v>69.0002445090934</v>
      </c>
      <c r="T456" s="226">
        <f ca="1">(1+OFFSET('玩法产出(新)'!$C$18,MATCH(X456,'玩法产出(新)'!$B$19:$B$25,0),1)*(1-V456)+OFFSET('玩法产出(新)'!$C$18,1+MATCH(X456,'玩法产出(新)'!$B$19:$B$25,0),1)*(V456))^AA456*(1+OFFSET('玩法产出(新)'!$C$18,MATCH(X456,'玩法产出(新)'!$B$19:$B$25,0),3)*(1-V456)+OFFSET('玩法产出(新)'!$C$18,1+MATCH(X456,'玩法产出(新)'!$B$19:$B$25,0),3)*(V456))^AB456*(1+OFFSET('玩法产出(新)'!$C$18,MATCH(X456,'玩法产出(新)'!$B$19:$B$25,0),4)*(1-V456)+OFFSET('玩法产出(新)'!$C$18,1+MATCH(X456,'玩法产出(新)'!$B$19:$B$25,0),4)*(V456))^AC456*(1+OFFSET('玩法产出(新)'!$C$18,MATCH(X456,'玩法产出(新)'!$B$19:$B$25,0),5)*(1+V456)+OFFSET('玩法产出(新)'!$C$18,1+MATCH(X456,'玩法产出(新)'!$B$19:$B$25,5),1)*(V456))^AD456*(1+OFFSET('玩法产出(新)'!$C$18,MATCH(X456,'玩法产出(新)'!$B$19:$B$25,0),6)*(1+V456)+OFFSET('玩法产出(新)'!$C$18,1+MATCH(X456,'玩法产出(新)'!$B$19:$B$25,0),6)*(V456))^AE456</f>
        <v>106.533904633077</v>
      </c>
      <c r="U456" s="226">
        <f ca="1" t="shared" si="231"/>
        <v>0.128388659442184</v>
      </c>
      <c r="V456" s="226">
        <f ca="1">COUNTIF($X$124:$X456,X456)/(COUNTIF($X$124:$X$723,X456)+1)</f>
        <v>0.447422680412371</v>
      </c>
      <c r="W456" s="19">
        <v>30</v>
      </c>
      <c r="X456" s="19" t="s">
        <v>326</v>
      </c>
      <c r="Y456" s="19">
        <f t="shared" si="237"/>
        <v>34460</v>
      </c>
      <c r="Z456" s="19">
        <f ca="1" t="shared" si="213"/>
        <v>0.483161884793814</v>
      </c>
      <c r="AA456" s="282">
        <f ca="1" t="shared" si="214"/>
        <v>2.715965625</v>
      </c>
      <c r="AB456" s="282">
        <f ca="1" t="shared" si="215"/>
        <v>18</v>
      </c>
      <c r="AC456" s="282">
        <f ca="1" t="shared" si="216"/>
        <v>7.07355</v>
      </c>
      <c r="AD456" s="282">
        <f ca="1" t="shared" si="217"/>
        <v>1.7683875</v>
      </c>
      <c r="AE456" s="282">
        <f ca="1" t="shared" si="218"/>
        <v>0.442096875</v>
      </c>
      <c r="AF456" s="19" t="str">
        <f t="shared" si="219"/>
        <v>彩2</v>
      </c>
      <c r="AG456" s="19">
        <f>IFERROR(_xlfn.XLOOKUP(C456+1,[2]基因升级!$E$141:$E$500,[2]基因升级!$D$141:$D$500)-1,AG455)</f>
        <v>103</v>
      </c>
      <c r="AH456" s="19">
        <v>8</v>
      </c>
      <c r="AI456" s="19">
        <f t="shared" si="220"/>
        <v>10.5142500606751</v>
      </c>
      <c r="AJ456" s="19">
        <f t="shared" si="232"/>
        <v>0</v>
      </c>
      <c r="AK456" s="269">
        <v>2.0368</v>
      </c>
      <c r="AL456" s="287">
        <f t="shared" si="201"/>
        <v>14.9599999999999</v>
      </c>
      <c r="AM456" s="287">
        <f t="shared" si="202"/>
        <v>11.3599999999999</v>
      </c>
      <c r="AN456" s="287">
        <f t="shared" si="203"/>
        <v>7.76</v>
      </c>
      <c r="AO456" s="287">
        <f t="shared" si="238"/>
        <v>2.6</v>
      </c>
      <c r="AP456" s="86"/>
      <c r="AQ456" s="19">
        <f t="shared" si="221"/>
        <v>2.75157474179971</v>
      </c>
      <c r="AR456" s="19">
        <f t="shared" si="222"/>
        <v>2.1567495420961</v>
      </c>
      <c r="AS456" s="19">
        <f t="shared" si="223"/>
        <v>1.69051144301801</v>
      </c>
      <c r="AT456" s="19">
        <f t="shared" si="224"/>
        <v>1.19233370823059</v>
      </c>
      <c r="AU456" s="19">
        <f t="shared" si="225"/>
        <v>1</v>
      </c>
      <c r="AV456" s="232">
        <f t="shared" si="205"/>
        <v>0.0399999999999991</v>
      </c>
      <c r="AW456" s="232">
        <f t="shared" si="206"/>
        <v>0.0399999999999991</v>
      </c>
      <c r="AX456" s="232">
        <f t="shared" si="207"/>
        <v>0.04</v>
      </c>
      <c r="AY456" s="232">
        <f t="shared" si="208"/>
        <v>0.3</v>
      </c>
      <c r="AZ456" s="232">
        <f t="shared" si="209"/>
        <v>0</v>
      </c>
    </row>
    <row r="457" spans="1:52">
      <c r="A457" s="269"/>
      <c r="C457" s="19">
        <v>334</v>
      </c>
      <c r="D457" s="86">
        <f ca="1" t="shared" si="233"/>
        <v>225.336535871858</v>
      </c>
      <c r="E457" s="251">
        <f ca="1" t="shared" si="210"/>
        <v>0.313946900938014</v>
      </c>
      <c r="F457" s="269">
        <f ca="1" t="shared" si="226"/>
        <v>483.247896673956</v>
      </c>
      <c r="G457" s="283">
        <f ca="1" t="shared" si="227"/>
        <v>151.714179545602</v>
      </c>
      <c r="H457" s="279">
        <f ca="1" t="shared" si="228"/>
        <v>0.18541855805077</v>
      </c>
      <c r="I457" s="269">
        <f ca="1">SUM($J$125:J457)/SUM($H$125:H457)</f>
        <v>0.521054843649992</v>
      </c>
      <c r="J457" s="284">
        <f t="shared" si="234"/>
        <v>0.0703979270213608</v>
      </c>
      <c r="K457" s="19">
        <f t="shared" si="236"/>
        <v>34300</v>
      </c>
      <c r="L457" s="269">
        <f t="shared" si="229"/>
        <v>2.71499999999996</v>
      </c>
      <c r="M457" s="226">
        <f ca="1" t="shared" si="230"/>
        <v>136.224</v>
      </c>
      <c r="N457" s="280">
        <f ca="1" t="shared" si="235"/>
        <v>0.11502063102941</v>
      </c>
      <c r="O457" s="226">
        <f t="shared" si="200"/>
        <v>52.8</v>
      </c>
      <c r="P457" s="19">
        <f ca="1" t="shared" si="204"/>
        <v>16.8</v>
      </c>
      <c r="Q457" s="226">
        <f ca="1" t="shared" ref="Q457:Q520" si="239">_xlfn.XLOOKUP(O457,$D$76:$D$95,$E$76:$E$95)*(P457-1)+1</f>
        <v>2.58</v>
      </c>
      <c r="R457" s="269">
        <f ca="1" t="shared" si="211"/>
        <v>0.73584392652313</v>
      </c>
      <c r="S457" s="266">
        <f ca="1" t="shared" si="212"/>
        <v>69.1287728519807</v>
      </c>
      <c r="T457" s="226">
        <f ca="1">(1+OFFSET('玩法产出(新)'!$C$18,MATCH(X457,'玩法产出(新)'!$B$19:$B$25,0),1)*(1-V457)+OFFSET('玩法产出(新)'!$C$18,1+MATCH(X457,'玩法产出(新)'!$B$19:$B$25,0),1)*(V457))^AA457*(1+OFFSET('玩法产出(新)'!$C$18,MATCH(X457,'玩法产出(新)'!$B$19:$B$25,0),3)*(1-V457)+OFFSET('玩法产出(新)'!$C$18,1+MATCH(X457,'玩法产出(新)'!$B$19:$B$25,0),3)*(V457))^AB457*(1+OFFSET('玩法产出(新)'!$C$18,MATCH(X457,'玩法产出(新)'!$B$19:$B$25,0),4)*(1-V457)+OFFSET('玩法产出(新)'!$C$18,1+MATCH(X457,'玩法产出(新)'!$B$19:$B$25,0),4)*(V457))^AC457*(1+OFFSET('玩法产出(新)'!$C$18,MATCH(X457,'玩法产出(新)'!$B$19:$B$25,0),5)*(1+V457)+OFFSET('玩法产出(新)'!$C$18,1+MATCH(X457,'玩法产出(新)'!$B$19:$B$25,5),1)*(V457))^AD457*(1+OFFSET('玩法产出(新)'!$C$18,MATCH(X457,'玩法产出(新)'!$B$19:$B$25,0),6)*(1+V457)+OFFSET('玩法产出(新)'!$C$18,1+MATCH(X457,'玩法产出(新)'!$B$19:$B$25,0),6)*(V457))^AE457</f>
        <v>107.464369038204</v>
      </c>
      <c r="U457" s="226">
        <f ca="1" t="shared" si="231"/>
        <v>0.128528342887243</v>
      </c>
      <c r="V457" s="226">
        <f ca="1">COUNTIF($X$124:$X457,X457)/(COUNTIF($X$124:$X$723,X457)+1)</f>
        <v>0.449484536082474</v>
      </c>
      <c r="W457" s="19">
        <v>30</v>
      </c>
      <c r="X457" s="19" t="s">
        <v>326</v>
      </c>
      <c r="Y457" s="19">
        <f t="shared" si="237"/>
        <v>34560</v>
      </c>
      <c r="Z457" s="19">
        <f ca="1" t="shared" si="213"/>
        <v>0.478515364948453</v>
      </c>
      <c r="AA457" s="282">
        <f ca="1" t="shared" si="214"/>
        <v>2.6886</v>
      </c>
      <c r="AB457" s="282">
        <f ca="1" t="shared" si="215"/>
        <v>18</v>
      </c>
      <c r="AC457" s="282">
        <f ca="1" t="shared" si="216"/>
        <v>7.0944</v>
      </c>
      <c r="AD457" s="282">
        <f ca="1" t="shared" si="217"/>
        <v>1.7736</v>
      </c>
      <c r="AE457" s="282">
        <f ca="1" t="shared" si="218"/>
        <v>0.4434</v>
      </c>
      <c r="AF457" s="19" t="str">
        <f t="shared" si="219"/>
        <v>彩2</v>
      </c>
      <c r="AG457" s="19">
        <f>IFERROR(_xlfn.XLOOKUP(C457+1,[2]基因升级!$E$141:$E$500,[2]基因升级!$D$141:$D$500)-1,AG456)</f>
        <v>103</v>
      </c>
      <c r="AH457" s="19">
        <v>8</v>
      </c>
      <c r="AI457" s="19">
        <f t="shared" si="220"/>
        <v>10.5142500606751</v>
      </c>
      <c r="AJ457" s="19">
        <f t="shared" si="232"/>
        <v>0</v>
      </c>
      <c r="AK457" s="269">
        <v>2.0368</v>
      </c>
      <c r="AL457" s="287">
        <f t="shared" si="201"/>
        <v>14.9999999999999</v>
      </c>
      <c r="AM457" s="287">
        <f t="shared" si="202"/>
        <v>11.3999999999999</v>
      </c>
      <c r="AN457" s="287">
        <f t="shared" si="203"/>
        <v>7.8</v>
      </c>
      <c r="AO457" s="287">
        <f t="shared" si="238"/>
        <v>2.9</v>
      </c>
      <c r="AP457" s="86"/>
      <c r="AQ457" s="19">
        <f t="shared" si="221"/>
        <v>2.75903154071531</v>
      </c>
      <c r="AR457" s="19">
        <f t="shared" si="222"/>
        <v>2.16259435794007</v>
      </c>
      <c r="AS457" s="19">
        <f t="shared" si="223"/>
        <v>1.69509274829881</v>
      </c>
      <c r="AT457" s="19">
        <f t="shared" si="224"/>
        <v>1.21678250085184</v>
      </c>
      <c r="AU457" s="19">
        <f t="shared" si="225"/>
        <v>1</v>
      </c>
      <c r="AV457" s="232">
        <f t="shared" si="205"/>
        <v>0.0399999999999991</v>
      </c>
      <c r="AW457" s="232">
        <f t="shared" si="206"/>
        <v>0.0399999999999991</v>
      </c>
      <c r="AX457" s="232">
        <f t="shared" si="207"/>
        <v>0.04</v>
      </c>
      <c r="AY457" s="232">
        <f t="shared" si="208"/>
        <v>0.3</v>
      </c>
      <c r="AZ457" s="232">
        <f t="shared" si="209"/>
        <v>0</v>
      </c>
    </row>
    <row r="458" spans="1:52">
      <c r="A458" s="269"/>
      <c r="C458" s="19">
        <v>335</v>
      </c>
      <c r="D458" s="86">
        <f ca="1" t="shared" si="233"/>
        <v>225.649558419112</v>
      </c>
      <c r="E458" s="251">
        <f ca="1" t="shared" si="210"/>
        <v>0.313022547253745</v>
      </c>
      <c r="F458" s="269">
        <f ca="1" t="shared" si="226"/>
        <v>485.263874696694</v>
      </c>
      <c r="G458" s="283">
        <f ca="1" t="shared" si="227"/>
        <v>151.898534147781</v>
      </c>
      <c r="H458" s="279">
        <f ca="1" t="shared" si="228"/>
        <v>0.184354602179241</v>
      </c>
      <c r="I458" s="269">
        <f ca="1">SUM($J$125:J458)/SUM($H$125:H458)</f>
        <v>0.52087276503757</v>
      </c>
      <c r="J458" s="284">
        <f t="shared" si="234"/>
        <v>0.0702221702123609</v>
      </c>
      <c r="K458" s="19">
        <f t="shared" si="236"/>
        <v>34400</v>
      </c>
      <c r="L458" s="269">
        <f t="shared" si="229"/>
        <v>2.71999999999996</v>
      </c>
      <c r="M458" s="226">
        <f ca="1" t="shared" si="230"/>
        <v>137.28</v>
      </c>
      <c r="N458" s="280">
        <f ca="1" t="shared" si="235"/>
        <v>0.114132431966908</v>
      </c>
      <c r="O458" s="226">
        <f t="shared" ref="O458:O521" si="240">IF(MOD(C458,60)=0,_xlfn.XLOOKUP(_xlfn.XLOOKUP(O457,$D$76:$D$95,$C$76:$C$95)+1,$C$76:$C$95,$D$76:$D$95),O457)</f>
        <v>52.8</v>
      </c>
      <c r="P458" s="19">
        <f ca="1" t="shared" si="204"/>
        <v>17</v>
      </c>
      <c r="Q458" s="226">
        <f ca="1" t="shared" si="239"/>
        <v>2.6</v>
      </c>
      <c r="R458" s="269">
        <f ca="1" t="shared" si="211"/>
        <v>0.737213537497188</v>
      </c>
      <c r="S458" s="266">
        <f ca="1" t="shared" si="212"/>
        <v>69.2574407970551</v>
      </c>
      <c r="T458" s="226">
        <f ca="1">(1+OFFSET('玩法产出(新)'!$C$18,MATCH(X458,'玩法产出(新)'!$B$19:$B$25,0),1)*(1-V458)+OFFSET('玩法产出(新)'!$C$18,1+MATCH(X458,'玩法产出(新)'!$B$19:$B$25,0),1)*(V458))^AA458*(1+OFFSET('玩法产出(新)'!$C$18,MATCH(X458,'玩法产出(新)'!$B$19:$B$25,0),3)*(1-V458)+OFFSET('玩法产出(新)'!$C$18,1+MATCH(X458,'玩法产出(新)'!$B$19:$B$25,0),3)*(V458))^AB458*(1+OFFSET('玩法产出(新)'!$C$18,MATCH(X458,'玩法产出(新)'!$B$19:$B$25,0),4)*(1-V458)+OFFSET('玩法产出(新)'!$C$18,1+MATCH(X458,'玩法产出(新)'!$B$19:$B$25,0),4)*(V458))^AC458*(1+OFFSET('玩法产出(新)'!$C$18,MATCH(X458,'玩法产出(新)'!$B$19:$B$25,0),5)*(1+V458)+OFFSET('玩法产出(新)'!$C$18,1+MATCH(X458,'玩法产出(新)'!$B$19:$B$25,5),1)*(V458))^AD458*(1+OFFSET('玩法产出(新)'!$C$18,MATCH(X458,'玩法产出(新)'!$B$19:$B$25,0),6)*(1+V458)+OFFSET('玩法产出(新)'!$C$18,1+MATCH(X458,'玩法产出(新)'!$B$19:$B$25,0),6)*(V458))^AE458</f>
        <v>108.403983998514</v>
      </c>
      <c r="U458" s="226">
        <f ca="1" t="shared" si="231"/>
        <v>0.128667945074476</v>
      </c>
      <c r="V458" s="226">
        <f ca="1">COUNTIF($X$124:$X458,X458)/(COUNTIF($X$124:$X$723,X458)+1)</f>
        <v>0.451546391752577</v>
      </c>
      <c r="W458" s="19">
        <v>30</v>
      </c>
      <c r="X458" s="19" t="s">
        <v>326</v>
      </c>
      <c r="Y458" s="19">
        <f t="shared" si="237"/>
        <v>34660</v>
      </c>
      <c r="Z458" s="19">
        <f ca="1" t="shared" si="213"/>
        <v>0.473864331185567</v>
      </c>
      <c r="AA458" s="282">
        <f ca="1" t="shared" si="214"/>
        <v>2.661234375</v>
      </c>
      <c r="AB458" s="282">
        <f ca="1" t="shared" si="215"/>
        <v>18</v>
      </c>
      <c r="AC458" s="282">
        <f ca="1" t="shared" si="216"/>
        <v>7.11525</v>
      </c>
      <c r="AD458" s="282">
        <f ca="1" t="shared" si="217"/>
        <v>1.7788125</v>
      </c>
      <c r="AE458" s="282">
        <f ca="1" t="shared" si="218"/>
        <v>0.444703125</v>
      </c>
      <c r="AF458" s="19" t="str">
        <f t="shared" si="219"/>
        <v>彩2</v>
      </c>
      <c r="AG458" s="19">
        <f>IFERROR(_xlfn.XLOOKUP(C458+1,[2]基因升级!$E$141:$E$500,[2]基因升级!$D$141:$D$500)-1,AG457)</f>
        <v>103</v>
      </c>
      <c r="AH458" s="19">
        <v>8</v>
      </c>
      <c r="AI458" s="19">
        <f t="shared" si="220"/>
        <v>10.5142500606751</v>
      </c>
      <c r="AJ458" s="19">
        <f t="shared" si="232"/>
        <v>0</v>
      </c>
      <c r="AK458" s="269">
        <v>2.0368</v>
      </c>
      <c r="AL458" s="287">
        <f t="shared" si="201"/>
        <v>15.0399999999998</v>
      </c>
      <c r="AM458" s="287">
        <f t="shared" si="202"/>
        <v>11.4399999999999</v>
      </c>
      <c r="AN458" s="287">
        <f t="shared" si="203"/>
        <v>7.84</v>
      </c>
      <c r="AO458" s="287">
        <f t="shared" si="238"/>
        <v>3.2</v>
      </c>
      <c r="AP458" s="86"/>
      <c r="AQ458" s="19">
        <f t="shared" si="221"/>
        <v>2.76650854764097</v>
      </c>
      <c r="AR458" s="19">
        <f t="shared" si="222"/>
        <v>2.16845501330159</v>
      </c>
      <c r="AS458" s="19">
        <f t="shared" si="223"/>
        <v>1.69968646896914</v>
      </c>
      <c r="AT458" s="19">
        <f t="shared" si="224"/>
        <v>1.24173261575938</v>
      </c>
      <c r="AU458" s="19">
        <f t="shared" si="225"/>
        <v>1</v>
      </c>
      <c r="AV458" s="232">
        <f t="shared" si="205"/>
        <v>0.0399999999999991</v>
      </c>
      <c r="AW458" s="232">
        <f t="shared" si="206"/>
        <v>0.0399999999999991</v>
      </c>
      <c r="AX458" s="232">
        <f t="shared" si="207"/>
        <v>0.04</v>
      </c>
      <c r="AY458" s="232">
        <f t="shared" si="208"/>
        <v>0.3</v>
      </c>
      <c r="AZ458" s="232">
        <f t="shared" si="209"/>
        <v>0</v>
      </c>
    </row>
    <row r="459" spans="1:52">
      <c r="A459" s="269"/>
      <c r="C459" s="19">
        <v>336</v>
      </c>
      <c r="D459" s="86">
        <f ca="1" t="shared" si="233"/>
        <v>225.961671057441</v>
      </c>
      <c r="E459" s="251">
        <f ca="1" t="shared" si="210"/>
        <v>0.312112638329513</v>
      </c>
      <c r="F459" s="269">
        <f ca="1" t="shared" si="226"/>
        <v>487.265879824589</v>
      </c>
      <c r="G459" s="283">
        <f ca="1" t="shared" si="227"/>
        <v>152.081839320004</v>
      </c>
      <c r="H459" s="279">
        <f ca="1" t="shared" si="228"/>
        <v>0.183305172222475</v>
      </c>
      <c r="I459" s="269">
        <f ca="1">SUM($J$125:J459)/SUM($H$125:H459)</f>
        <v>0.52069377421684</v>
      </c>
      <c r="J459" s="284">
        <f t="shared" si="234"/>
        <v>0.0700473268705082</v>
      </c>
      <c r="K459" s="19">
        <f t="shared" si="236"/>
        <v>34500</v>
      </c>
      <c r="L459" s="269">
        <f t="shared" si="229"/>
        <v>2.72499999999996</v>
      </c>
      <c r="M459" s="226">
        <f ca="1" t="shared" si="230"/>
        <v>138.336</v>
      </c>
      <c r="N459" s="280">
        <f ca="1" t="shared" si="235"/>
        <v>0.113257845351953</v>
      </c>
      <c r="O459" s="226">
        <f t="shared" si="240"/>
        <v>52.8</v>
      </c>
      <c r="P459" s="19">
        <f ca="1" t="shared" si="204"/>
        <v>17.2</v>
      </c>
      <c r="Q459" s="226">
        <f ca="1" t="shared" si="239"/>
        <v>2.62</v>
      </c>
      <c r="R459" s="269">
        <f ca="1" t="shared" si="211"/>
        <v>0.738584633608335</v>
      </c>
      <c r="S459" s="266">
        <f ca="1" t="shared" si="212"/>
        <v>69.3862482631622</v>
      </c>
      <c r="T459" s="226">
        <f ca="1">(1+OFFSET('玩法产出(新)'!$C$18,MATCH(X459,'玩法产出(新)'!$B$19:$B$25,0),1)*(1-V459)+OFFSET('玩法产出(新)'!$C$18,1+MATCH(X459,'玩法产出(新)'!$B$19:$B$25,0),1)*(V459))^AA459*(1+OFFSET('玩法产出(新)'!$C$18,MATCH(X459,'玩法产出(新)'!$B$19:$B$25,0),3)*(1-V459)+OFFSET('玩法产出(新)'!$C$18,1+MATCH(X459,'玩法产出(新)'!$B$19:$B$25,0),3)*(V459))^AB459*(1+OFFSET('玩法产出(新)'!$C$18,MATCH(X459,'玩法产出(新)'!$B$19:$B$25,0),4)*(1-V459)+OFFSET('玩法产出(新)'!$C$18,1+MATCH(X459,'玩法产出(新)'!$B$19:$B$25,0),4)*(V459))^AC459*(1+OFFSET('玩法产出(新)'!$C$18,MATCH(X459,'玩法产出(新)'!$B$19:$B$25,0),5)*(1+V459)+OFFSET('玩法产出(新)'!$C$18,1+MATCH(X459,'玩法产出(新)'!$B$19:$B$25,5),1)*(V459))^AD459*(1+OFFSET('玩法产出(新)'!$C$18,MATCH(X459,'玩法产出(新)'!$B$19:$B$25,0),6)*(1+V459)+OFFSET('玩法产出(新)'!$C$18,1+MATCH(X459,'玩法产出(新)'!$B$19:$B$25,0),6)*(V459))^AE459</f>
        <v>109.352846749034</v>
      </c>
      <c r="U459" s="226">
        <f ca="1" t="shared" si="231"/>
        <v>0.128807466107052</v>
      </c>
      <c r="V459" s="226">
        <f ca="1">COUNTIF($X$124:$X459,X459)/(COUNTIF($X$124:$X$723,X459)+1)</f>
        <v>0.45360824742268</v>
      </c>
      <c r="W459" s="19">
        <v>30</v>
      </c>
      <c r="X459" s="19" t="s">
        <v>326</v>
      </c>
      <c r="Y459" s="19">
        <f t="shared" si="237"/>
        <v>34760</v>
      </c>
      <c r="Z459" s="19">
        <f ca="1" t="shared" si="213"/>
        <v>0.469208783505155</v>
      </c>
      <c r="AA459" s="282">
        <f ca="1" t="shared" si="214"/>
        <v>2.63386875</v>
      </c>
      <c r="AB459" s="282">
        <f ca="1" t="shared" si="215"/>
        <v>18</v>
      </c>
      <c r="AC459" s="282">
        <f ca="1" t="shared" si="216"/>
        <v>7.1361</v>
      </c>
      <c r="AD459" s="282">
        <f ca="1" t="shared" si="217"/>
        <v>1.784025</v>
      </c>
      <c r="AE459" s="282">
        <f ca="1" t="shared" si="218"/>
        <v>0.44600625</v>
      </c>
      <c r="AF459" s="19" t="str">
        <f t="shared" si="219"/>
        <v>彩2</v>
      </c>
      <c r="AG459" s="19">
        <f>IFERROR(_xlfn.XLOOKUP(C459+1,[2]基因升级!$E$141:$E$500,[2]基因升级!$D$141:$D$500)-1,AG458)</f>
        <v>103</v>
      </c>
      <c r="AH459" s="19">
        <v>8</v>
      </c>
      <c r="AI459" s="19">
        <f t="shared" si="220"/>
        <v>10.5142500606751</v>
      </c>
      <c r="AJ459" s="19">
        <f t="shared" si="232"/>
        <v>0</v>
      </c>
      <c r="AK459" s="269">
        <v>2.0368</v>
      </c>
      <c r="AL459" s="287">
        <f t="shared" si="201"/>
        <v>15.0799999999998</v>
      </c>
      <c r="AM459" s="287">
        <f t="shared" si="202"/>
        <v>11.4799999999999</v>
      </c>
      <c r="AN459" s="287">
        <f t="shared" si="203"/>
        <v>7.88</v>
      </c>
      <c r="AO459" s="287">
        <f t="shared" si="238"/>
        <v>3.4</v>
      </c>
      <c r="AP459" s="86"/>
      <c r="AQ459" s="19">
        <f t="shared" si="221"/>
        <v>2.77400581734063</v>
      </c>
      <c r="AR459" s="19">
        <f t="shared" si="222"/>
        <v>2.17433155110596</v>
      </c>
      <c r="AS459" s="19">
        <f t="shared" si="223"/>
        <v>1.70429263867485</v>
      </c>
      <c r="AT459" s="19">
        <f t="shared" si="224"/>
        <v>1.25864960580211</v>
      </c>
      <c r="AU459" s="19">
        <f t="shared" si="225"/>
        <v>1</v>
      </c>
      <c r="AV459" s="232">
        <f t="shared" si="205"/>
        <v>0.0399999999999991</v>
      </c>
      <c r="AW459" s="232">
        <f t="shared" si="206"/>
        <v>0.0399999999999991</v>
      </c>
      <c r="AX459" s="232">
        <f t="shared" si="207"/>
        <v>0.04</v>
      </c>
      <c r="AY459" s="232">
        <f t="shared" si="208"/>
        <v>0.2</v>
      </c>
      <c r="AZ459" s="232">
        <f t="shared" si="209"/>
        <v>0</v>
      </c>
    </row>
    <row r="460" spans="1:52">
      <c r="A460" s="269"/>
      <c r="C460" s="19">
        <v>337</v>
      </c>
      <c r="D460" s="86">
        <f ca="1" t="shared" si="233"/>
        <v>226.272887913808</v>
      </c>
      <c r="E460" s="251">
        <f ca="1" t="shared" si="210"/>
        <v>0.31121685636692</v>
      </c>
      <c r="F460" s="269">
        <f ca="1" t="shared" si="226"/>
        <v>489.254055990995</v>
      </c>
      <c r="G460" s="283">
        <f ca="1" t="shared" si="227"/>
        <v>152.264109270282</v>
      </c>
      <c r="H460" s="279">
        <f ca="1" t="shared" si="228"/>
        <v>0.18226995027868</v>
      </c>
      <c r="I460" s="269">
        <f ca="1">SUM($J$125:J460)/SUM($H$125:H460)</f>
        <v>0.520517809675854</v>
      </c>
      <c r="J460" s="284">
        <f t="shared" si="234"/>
        <v>0.0698733896503398</v>
      </c>
      <c r="K460" s="19">
        <f t="shared" si="236"/>
        <v>34600</v>
      </c>
      <c r="L460" s="269">
        <f t="shared" si="229"/>
        <v>2.72999999999996</v>
      </c>
      <c r="M460" s="226">
        <f ca="1" t="shared" si="230"/>
        <v>139.392</v>
      </c>
      <c r="N460" s="280">
        <f ca="1" t="shared" si="235"/>
        <v>0.112396560628341</v>
      </c>
      <c r="O460" s="226">
        <f t="shared" si="240"/>
        <v>52.8</v>
      </c>
      <c r="P460" s="19">
        <f ca="1" t="shared" si="204"/>
        <v>17.4</v>
      </c>
      <c r="Q460" s="226">
        <f ca="1" t="shared" si="239"/>
        <v>2.64</v>
      </c>
      <c r="R460" s="269">
        <f ca="1" t="shared" si="211"/>
        <v>0.739957213993816</v>
      </c>
      <c r="S460" s="266">
        <f ca="1" t="shared" si="212"/>
        <v>69.5151951692504</v>
      </c>
      <c r="T460" s="226">
        <f ca="1">(1+OFFSET('玩法产出(新)'!$C$18,MATCH(X460,'玩法产出(新)'!$B$19:$B$25,0),1)*(1-V460)+OFFSET('玩法产出(新)'!$C$18,1+MATCH(X460,'玩法产出(新)'!$B$19:$B$25,0),1)*(V460))^AA460*(1+OFFSET('玩法产出(新)'!$C$18,MATCH(X460,'玩法产出(新)'!$B$19:$B$25,0),3)*(1-V460)+OFFSET('玩法产出(新)'!$C$18,1+MATCH(X460,'玩法产出(新)'!$B$19:$B$25,0),3)*(V460))^AB460*(1+OFFSET('玩法产出(新)'!$C$18,MATCH(X460,'玩法产出(新)'!$B$19:$B$25,0),4)*(1-V460)+OFFSET('玩法产出(新)'!$C$18,1+MATCH(X460,'玩法产出(新)'!$B$19:$B$25,0),4)*(V460))^AC460*(1+OFFSET('玩法产出(新)'!$C$18,MATCH(X460,'玩法产出(新)'!$B$19:$B$25,0),5)*(1+V460)+OFFSET('玩法产出(新)'!$C$18,1+MATCH(X460,'玩法产出(新)'!$B$19:$B$25,5),1)*(V460))^AD460*(1+OFFSET('玩法产出(新)'!$C$18,MATCH(X460,'玩法产出(新)'!$B$19:$B$25,0),6)*(1+V460)+OFFSET('玩法产出(新)'!$C$18,1+MATCH(X460,'玩法产出(新)'!$B$19:$B$25,0),6)*(V460))^AE460</f>
        <v>110.311055623618</v>
      </c>
      <c r="U460" s="226">
        <f ca="1" t="shared" si="231"/>
        <v>0.128946906088239</v>
      </c>
      <c r="V460" s="226">
        <f ca="1">COUNTIF($X$124:$X460,X460)/(COUNTIF($X$124:$X$723,X460)+1)</f>
        <v>0.455670103092783</v>
      </c>
      <c r="W460" s="19">
        <v>30</v>
      </c>
      <c r="X460" s="19" t="s">
        <v>326</v>
      </c>
      <c r="Y460" s="19">
        <f t="shared" si="237"/>
        <v>34860</v>
      </c>
      <c r="Z460" s="19">
        <f ca="1" t="shared" si="213"/>
        <v>0.464548721907216</v>
      </c>
      <c r="AA460" s="282">
        <f ca="1" t="shared" si="214"/>
        <v>2.606503125</v>
      </c>
      <c r="AB460" s="282">
        <f ca="1" t="shared" si="215"/>
        <v>18</v>
      </c>
      <c r="AC460" s="282">
        <f ca="1" t="shared" si="216"/>
        <v>7.15695</v>
      </c>
      <c r="AD460" s="282">
        <f ca="1" t="shared" si="217"/>
        <v>1.7892375</v>
      </c>
      <c r="AE460" s="282">
        <f ca="1" t="shared" si="218"/>
        <v>0.447309375</v>
      </c>
      <c r="AF460" s="19" t="str">
        <f t="shared" si="219"/>
        <v>彩2</v>
      </c>
      <c r="AG460" s="19">
        <f>IFERROR(_xlfn.XLOOKUP(C460+1,[2]基因升级!$E$141:$E$500,[2]基因升级!$D$141:$D$500)-1,AG459)</f>
        <v>103</v>
      </c>
      <c r="AH460" s="19">
        <v>8</v>
      </c>
      <c r="AI460" s="19">
        <f t="shared" si="220"/>
        <v>10.5142500606751</v>
      </c>
      <c r="AJ460" s="19">
        <f t="shared" si="232"/>
        <v>0</v>
      </c>
      <c r="AK460" s="269">
        <v>2.0368</v>
      </c>
      <c r="AL460" s="287">
        <f t="shared" si="201"/>
        <v>15.1199999999998</v>
      </c>
      <c r="AM460" s="287">
        <f t="shared" si="202"/>
        <v>11.5199999999999</v>
      </c>
      <c r="AN460" s="287">
        <f t="shared" si="203"/>
        <v>7.92</v>
      </c>
      <c r="AO460" s="287">
        <f t="shared" si="238"/>
        <v>3.6</v>
      </c>
      <c r="AP460" s="86"/>
      <c r="AQ460" s="19">
        <f t="shared" si="221"/>
        <v>2.78152340472664</v>
      </c>
      <c r="AR460" s="19">
        <f t="shared" si="222"/>
        <v>2.18022401439476</v>
      </c>
      <c r="AS460" s="19">
        <f t="shared" si="223"/>
        <v>1.70891129115296</v>
      </c>
      <c r="AT460" s="19">
        <f t="shared" si="224"/>
        <v>1.27579706780673</v>
      </c>
      <c r="AU460" s="19">
        <f t="shared" si="225"/>
        <v>1</v>
      </c>
      <c r="AV460" s="232">
        <f t="shared" si="205"/>
        <v>0.0399999999999991</v>
      </c>
      <c r="AW460" s="232">
        <f t="shared" si="206"/>
        <v>0.0399999999999991</v>
      </c>
      <c r="AX460" s="232">
        <f t="shared" si="207"/>
        <v>0.04</v>
      </c>
      <c r="AY460" s="232">
        <f t="shared" si="208"/>
        <v>0.2</v>
      </c>
      <c r="AZ460" s="232">
        <f t="shared" si="209"/>
        <v>0</v>
      </c>
    </row>
    <row r="461" spans="1:52">
      <c r="A461" s="269"/>
      <c r="C461" s="19">
        <v>338</v>
      </c>
      <c r="D461" s="86">
        <f ca="1" t="shared" si="233"/>
        <v>226.583222806831</v>
      </c>
      <c r="E461" s="251">
        <f ca="1" t="shared" si="210"/>
        <v>0.310334893023167</v>
      </c>
      <c r="F461" s="269">
        <f ca="1" t="shared" si="226"/>
        <v>491.228544792751</v>
      </c>
      <c r="G461" s="283">
        <f ca="1" t="shared" si="227"/>
        <v>152.445357898184</v>
      </c>
      <c r="H461" s="279">
        <f ca="1" t="shared" si="228"/>
        <v>0.181248627902164</v>
      </c>
      <c r="I461" s="269">
        <f ca="1">SUM($J$125:J461)/SUM($H$125:H461)</f>
        <v>0.520344811496908</v>
      </c>
      <c r="J461" s="284">
        <f t="shared" si="234"/>
        <v>0.0697003512867269</v>
      </c>
      <c r="K461" s="19">
        <f t="shared" si="236"/>
        <v>34700</v>
      </c>
      <c r="L461" s="269">
        <f t="shared" si="229"/>
        <v>2.73499999999996</v>
      </c>
      <c r="M461" s="226">
        <f ca="1" t="shared" si="230"/>
        <v>140.448</v>
      </c>
      <c r="N461" s="280">
        <f ca="1" t="shared" si="235"/>
        <v>0.111548276615423</v>
      </c>
      <c r="O461" s="226">
        <f t="shared" si="240"/>
        <v>52.8</v>
      </c>
      <c r="P461" s="19">
        <f ca="1" t="shared" si="204"/>
        <v>17.6</v>
      </c>
      <c r="Q461" s="226">
        <f ca="1" t="shared" si="239"/>
        <v>2.66</v>
      </c>
      <c r="R461" s="269">
        <f ca="1" t="shared" si="211"/>
        <v>0.741331277791972</v>
      </c>
      <c r="S461" s="266">
        <f ca="1" t="shared" si="212"/>
        <v>69.6442814343714</v>
      </c>
      <c r="T461" s="226">
        <f ca="1">(1+OFFSET('玩法产出(新)'!$C$18,MATCH(X461,'玩法产出(新)'!$B$19:$B$25,0),1)*(1-V461)+OFFSET('玩法产出(新)'!$C$18,1+MATCH(X461,'玩法产出(新)'!$B$19:$B$25,0),1)*(V461))^AA461*(1+OFFSET('玩法产出(新)'!$C$18,MATCH(X461,'玩法产出(新)'!$B$19:$B$25,0),3)*(1-V461)+OFFSET('玩法产出(新)'!$C$18,1+MATCH(X461,'玩法产出(新)'!$B$19:$B$25,0),3)*(V461))^AB461*(1+OFFSET('玩法产出(新)'!$C$18,MATCH(X461,'玩法产出(新)'!$B$19:$B$25,0),4)*(1-V461)+OFFSET('玩法产出(新)'!$C$18,1+MATCH(X461,'玩法产出(新)'!$B$19:$B$25,0),4)*(V461))^AC461*(1+OFFSET('玩法产出(新)'!$C$18,MATCH(X461,'玩法产出(新)'!$B$19:$B$25,0),5)*(1+V461)+OFFSET('玩法产出(新)'!$C$18,1+MATCH(X461,'玩法产出(新)'!$B$19:$B$25,5),1)*(V461))^AD461*(1+OFFSET('玩法产出(新)'!$C$18,MATCH(X461,'玩法产出(新)'!$B$19:$B$25,0),6)*(1+V461)+OFFSET('玩法产出(新)'!$C$18,1+MATCH(X461,'玩法产出(新)'!$B$19:$B$25,0),6)*(V461))^AE461</f>
        <v>111.278710068009</v>
      </c>
      <c r="U461" s="226">
        <f ca="1" t="shared" si="231"/>
        <v>0.129086265121017</v>
      </c>
      <c r="V461" s="226">
        <f ca="1">COUNTIF($X$124:$X461,X461)/(COUNTIF($X$124:$X$723,X461)+1)</f>
        <v>0.457731958762887</v>
      </c>
      <c r="W461" s="19">
        <v>30</v>
      </c>
      <c r="X461" s="19" t="s">
        <v>326</v>
      </c>
      <c r="Y461" s="19">
        <f t="shared" si="237"/>
        <v>34960</v>
      </c>
      <c r="Z461" s="19">
        <f ca="1" t="shared" si="213"/>
        <v>0.459884146391752</v>
      </c>
      <c r="AA461" s="282">
        <f ca="1" t="shared" si="214"/>
        <v>2.5791375</v>
      </c>
      <c r="AB461" s="282">
        <f ca="1" t="shared" si="215"/>
        <v>18</v>
      </c>
      <c r="AC461" s="282">
        <f ca="1" t="shared" si="216"/>
        <v>7.1778</v>
      </c>
      <c r="AD461" s="282">
        <f ca="1" t="shared" si="217"/>
        <v>1.79445</v>
      </c>
      <c r="AE461" s="282">
        <f ca="1" t="shared" si="218"/>
        <v>0.4486125</v>
      </c>
      <c r="AF461" s="19" t="str">
        <f t="shared" si="219"/>
        <v>彩2</v>
      </c>
      <c r="AG461" s="19">
        <f>IFERROR(_xlfn.XLOOKUP(C461+1,[2]基因升级!$E$141:$E$500,[2]基因升级!$D$141:$D$500)-1,AG460)</f>
        <v>103</v>
      </c>
      <c r="AH461" s="19">
        <v>8</v>
      </c>
      <c r="AI461" s="19">
        <f t="shared" si="220"/>
        <v>10.5142500606751</v>
      </c>
      <c r="AJ461" s="19">
        <f t="shared" si="232"/>
        <v>0</v>
      </c>
      <c r="AK461" s="269">
        <v>2.0368</v>
      </c>
      <c r="AL461" s="287">
        <f t="shared" si="201"/>
        <v>15.1599999999998</v>
      </c>
      <c r="AM461" s="287">
        <f t="shared" si="202"/>
        <v>11.5599999999999</v>
      </c>
      <c r="AN461" s="287">
        <f t="shared" si="203"/>
        <v>7.96</v>
      </c>
      <c r="AO461" s="287">
        <f t="shared" si="238"/>
        <v>3.8</v>
      </c>
      <c r="AP461" s="86"/>
      <c r="AQ461" s="19">
        <f t="shared" si="221"/>
        <v>2.78906136486016</v>
      </c>
      <c r="AR461" s="19">
        <f t="shared" si="222"/>
        <v>2.18613244632624</v>
      </c>
      <c r="AS461" s="19">
        <f t="shared" si="223"/>
        <v>1.71354246023194</v>
      </c>
      <c r="AT461" s="19">
        <f t="shared" si="224"/>
        <v>1.29317814165364</v>
      </c>
      <c r="AU461" s="19">
        <f t="shared" si="225"/>
        <v>1</v>
      </c>
      <c r="AV461" s="232">
        <f t="shared" si="205"/>
        <v>0.0399999999999991</v>
      </c>
      <c r="AW461" s="232">
        <f t="shared" si="206"/>
        <v>0.0399999999999991</v>
      </c>
      <c r="AX461" s="232">
        <f t="shared" si="207"/>
        <v>0.04</v>
      </c>
      <c r="AY461" s="232">
        <f t="shared" si="208"/>
        <v>0.2</v>
      </c>
      <c r="AZ461" s="232">
        <f t="shared" si="209"/>
        <v>0</v>
      </c>
    </row>
    <row r="462" spans="1:52">
      <c r="A462" s="269"/>
      <c r="C462" s="19">
        <v>339</v>
      </c>
      <c r="D462" s="86">
        <f ca="1" t="shared" si="233"/>
        <v>226.89268925589</v>
      </c>
      <c r="E462" s="251">
        <f ca="1" t="shared" si="210"/>
        <v>0.309466449059003</v>
      </c>
      <c r="F462" s="269">
        <f ca="1" t="shared" si="226"/>
        <v>493.189485542053</v>
      </c>
      <c r="G462" s="283">
        <f ca="1" t="shared" si="227"/>
        <v>152.625598803935</v>
      </c>
      <c r="H462" s="279">
        <f ca="1" t="shared" si="228"/>
        <v>0.180240905750964</v>
      </c>
      <c r="I462" s="269">
        <f ca="1">SUM($J$125:J462)/SUM($H$125:H462)</f>
        <v>0.52017472130457</v>
      </c>
      <c r="J462" s="284">
        <f t="shared" si="234"/>
        <v>0.0695282045941212</v>
      </c>
      <c r="K462" s="19">
        <f t="shared" si="236"/>
        <v>34800</v>
      </c>
      <c r="L462" s="269">
        <f t="shared" si="229"/>
        <v>2.73999999999996</v>
      </c>
      <c r="M462" s="226">
        <f ca="1" t="shared" si="230"/>
        <v>141.504</v>
      </c>
      <c r="N462" s="280">
        <f ca="1" t="shared" si="235"/>
        <v>0.110712701156856</v>
      </c>
      <c r="O462" s="226">
        <f t="shared" si="240"/>
        <v>52.8</v>
      </c>
      <c r="P462" s="19">
        <f ca="1" t="shared" si="204"/>
        <v>17.8</v>
      </c>
      <c r="Q462" s="226">
        <f ca="1" t="shared" si="239"/>
        <v>2.68</v>
      </c>
      <c r="R462" s="269">
        <f ca="1" t="shared" si="211"/>
        <v>0.742706824142237</v>
      </c>
      <c r="S462" s="266">
        <f ca="1" t="shared" si="212"/>
        <v>69.7735069776795</v>
      </c>
      <c r="T462" s="226">
        <f ca="1">(1+OFFSET('玩法产出(新)'!$C$18,MATCH(X462,'玩法产出(新)'!$B$19:$B$25,0),1)*(1-V462)+OFFSET('玩法产出(新)'!$C$18,1+MATCH(X462,'玩法产出(新)'!$B$19:$B$25,0),1)*(V462))^AA462*(1+OFFSET('玩法产出(新)'!$C$18,MATCH(X462,'玩法产出(新)'!$B$19:$B$25,0),3)*(1-V462)+OFFSET('玩法产出(新)'!$C$18,1+MATCH(X462,'玩法产出(新)'!$B$19:$B$25,0),3)*(V462))^AB462*(1+OFFSET('玩法产出(新)'!$C$18,MATCH(X462,'玩法产出(新)'!$B$19:$B$25,0),4)*(1-V462)+OFFSET('玩法产出(新)'!$C$18,1+MATCH(X462,'玩法产出(新)'!$B$19:$B$25,0),4)*(V462))^AC462*(1+OFFSET('玩法产出(新)'!$C$18,MATCH(X462,'玩法产出(新)'!$B$19:$B$25,0),5)*(1+V462)+OFFSET('玩法产出(新)'!$C$18,1+MATCH(X462,'玩法产出(新)'!$B$19:$B$25,5),1)*(V462))^AD462*(1+OFFSET('玩法产出(新)'!$C$18,MATCH(X462,'玩法产出(新)'!$B$19:$B$25,0),6)*(1+V462)+OFFSET('玩法产出(新)'!$C$18,1+MATCH(X462,'玩法产出(新)'!$B$19:$B$25,0),6)*(V462))^AE462</f>
        <v>112.255910653063</v>
      </c>
      <c r="U462" s="226">
        <f ca="1" t="shared" si="231"/>
        <v>0.129225543308025</v>
      </c>
      <c r="V462" s="226">
        <f ca="1">COUNTIF($X$124:$X462,X462)/(COUNTIF($X$124:$X$723,X462)+1)</f>
        <v>0.45979381443299</v>
      </c>
      <c r="W462" s="19">
        <v>30</v>
      </c>
      <c r="X462" s="19" t="s">
        <v>326</v>
      </c>
      <c r="Y462" s="19">
        <f t="shared" si="237"/>
        <v>35060</v>
      </c>
      <c r="Z462" s="19">
        <f ca="1" t="shared" si="213"/>
        <v>0.455215056958763</v>
      </c>
      <c r="AA462" s="282">
        <f ca="1" t="shared" si="214"/>
        <v>2.551771875</v>
      </c>
      <c r="AB462" s="282">
        <f ca="1" t="shared" si="215"/>
        <v>18</v>
      </c>
      <c r="AC462" s="282">
        <f ca="1" t="shared" si="216"/>
        <v>7.19865</v>
      </c>
      <c r="AD462" s="282">
        <f ca="1" t="shared" si="217"/>
        <v>1.7996625</v>
      </c>
      <c r="AE462" s="282">
        <f ca="1" t="shared" si="218"/>
        <v>0.449915625</v>
      </c>
      <c r="AF462" s="19" t="str">
        <f t="shared" si="219"/>
        <v>彩2</v>
      </c>
      <c r="AG462" s="19">
        <f>IFERROR(_xlfn.XLOOKUP(C462+1,[2]基因升级!$E$141:$E$500,[2]基因升级!$D$141:$D$500)-1,AG461)</f>
        <v>103</v>
      </c>
      <c r="AH462" s="19">
        <v>8</v>
      </c>
      <c r="AI462" s="19">
        <f t="shared" si="220"/>
        <v>10.5142500606751</v>
      </c>
      <c r="AJ462" s="19">
        <f t="shared" si="232"/>
        <v>0</v>
      </c>
      <c r="AK462" s="269">
        <v>2.0368</v>
      </c>
      <c r="AL462" s="287">
        <f t="shared" si="201"/>
        <v>15.1999999999998</v>
      </c>
      <c r="AM462" s="287">
        <f t="shared" si="202"/>
        <v>11.5999999999999</v>
      </c>
      <c r="AN462" s="287">
        <f t="shared" si="203"/>
        <v>8</v>
      </c>
      <c r="AO462" s="287">
        <f t="shared" si="238"/>
        <v>4</v>
      </c>
      <c r="AP462" s="86"/>
      <c r="AQ462" s="19">
        <f t="shared" si="221"/>
        <v>2.79661975295157</v>
      </c>
      <c r="AR462" s="19">
        <f t="shared" si="222"/>
        <v>2.19205689017561</v>
      </c>
      <c r="AS462" s="19">
        <f t="shared" si="223"/>
        <v>1.71818617983192</v>
      </c>
      <c r="AT462" s="19">
        <f t="shared" si="224"/>
        <v>1.31079601</v>
      </c>
      <c r="AU462" s="19">
        <f t="shared" si="225"/>
        <v>1</v>
      </c>
      <c r="AV462" s="232">
        <f t="shared" si="205"/>
        <v>0.0399999999999991</v>
      </c>
      <c r="AW462" s="232">
        <f t="shared" si="206"/>
        <v>0.0399999999999991</v>
      </c>
      <c r="AX462" s="232">
        <f t="shared" si="207"/>
        <v>0.04</v>
      </c>
      <c r="AY462" s="232">
        <f t="shared" si="208"/>
        <v>0.2</v>
      </c>
      <c r="AZ462" s="232">
        <f t="shared" si="209"/>
        <v>0</v>
      </c>
    </row>
    <row r="463" spans="1:52">
      <c r="A463" s="269"/>
      <c r="C463" s="19">
        <v>340</v>
      </c>
      <c r="D463" s="86">
        <f ca="1" t="shared" si="233"/>
        <v>227.201300489893</v>
      </c>
      <c r="E463" s="251">
        <f ca="1" t="shared" si="210"/>
        <v>0.308611234002226</v>
      </c>
      <c r="F463" s="269">
        <f ca="1" t="shared" si="226"/>
        <v>495.137015317089</v>
      </c>
      <c r="G463" s="283">
        <f ca="1" t="shared" si="227"/>
        <v>152.804845297186</v>
      </c>
      <c r="H463" s="279">
        <f ca="1" t="shared" si="228"/>
        <v>0.179246493250304</v>
      </c>
      <c r="I463" s="269">
        <f ca="1">SUM($J$125:J463)/SUM($H$125:H463)</f>
        <v>0.520007482215753</v>
      </c>
      <c r="J463" s="284">
        <f t="shared" si="234"/>
        <v>0.0693569424651628</v>
      </c>
      <c r="K463" s="19">
        <f t="shared" si="236"/>
        <v>34900</v>
      </c>
      <c r="L463" s="269">
        <f t="shared" si="229"/>
        <v>2.74499999999996</v>
      </c>
      <c r="M463" s="226">
        <f ca="1" t="shared" si="230"/>
        <v>142.56</v>
      </c>
      <c r="N463" s="280">
        <f ca="1" t="shared" si="235"/>
        <v>0.109889550785141</v>
      </c>
      <c r="O463" s="226">
        <f t="shared" si="240"/>
        <v>52.8</v>
      </c>
      <c r="P463" s="19">
        <f ca="1" t="shared" si="204"/>
        <v>18</v>
      </c>
      <c r="Q463" s="226">
        <f ca="1" t="shared" si="239"/>
        <v>2.7</v>
      </c>
      <c r="R463" s="269">
        <f ca="1" t="shared" si="211"/>
        <v>0.744083852185139</v>
      </c>
      <c r="S463" s="266">
        <f ca="1" t="shared" si="212"/>
        <v>69.9028717184314</v>
      </c>
      <c r="T463" s="226">
        <f ca="1">(1+OFFSET('玩法产出(新)'!$C$18,MATCH(X463,'玩法产出(新)'!$B$19:$B$25,0),1)*(1-V463)+OFFSET('玩法产出(新)'!$C$18,1+MATCH(X463,'玩法产出(新)'!$B$19:$B$25,0),1)*(V463))^AA463*(1+OFFSET('玩法产出(新)'!$C$18,MATCH(X463,'玩法产出(新)'!$B$19:$B$25,0),3)*(1-V463)+OFFSET('玩法产出(新)'!$C$18,1+MATCH(X463,'玩法产出(新)'!$B$19:$B$25,0),3)*(V463))^AB463*(1+OFFSET('玩法产出(新)'!$C$18,MATCH(X463,'玩法产出(新)'!$B$19:$B$25,0),4)*(1-V463)+OFFSET('玩法产出(新)'!$C$18,1+MATCH(X463,'玩法产出(新)'!$B$19:$B$25,0),4)*(V463))^AC463*(1+OFFSET('玩法产出(新)'!$C$18,MATCH(X463,'玩法产出(新)'!$B$19:$B$25,0),5)*(1+V463)+OFFSET('玩法产出(新)'!$C$18,1+MATCH(X463,'玩法产出(新)'!$B$19:$B$25,5),1)*(V463))^AD463*(1+OFFSET('玩法产出(新)'!$C$18,MATCH(X463,'玩法产出(新)'!$B$19:$B$25,0),6)*(1+V463)+OFFSET('玩法产出(新)'!$C$18,1+MATCH(X463,'玩法产出(新)'!$B$19:$B$25,0),6)*(V463))^AE463</f>
        <v>113.242759088144</v>
      </c>
      <c r="U463" s="226">
        <f ca="1" t="shared" si="231"/>
        <v>0.129364740751922</v>
      </c>
      <c r="V463" s="226">
        <f ca="1">COUNTIF($X$124:$X463,X463)/(COUNTIF($X$124:$X$723,X463)+1)</f>
        <v>0.461855670103093</v>
      </c>
      <c r="W463" s="19">
        <v>30</v>
      </c>
      <c r="X463" s="19" t="s">
        <v>326</v>
      </c>
      <c r="Y463" s="19">
        <f t="shared" si="237"/>
        <v>35160</v>
      </c>
      <c r="Z463" s="19">
        <f ca="1" t="shared" si="213"/>
        <v>0.450541453608248</v>
      </c>
      <c r="AA463" s="282">
        <f ca="1" t="shared" si="214"/>
        <v>2.52440625</v>
      </c>
      <c r="AB463" s="282">
        <f ca="1" t="shared" si="215"/>
        <v>18</v>
      </c>
      <c r="AC463" s="282">
        <f ca="1" t="shared" si="216"/>
        <v>7.2195</v>
      </c>
      <c r="AD463" s="282">
        <f ca="1" t="shared" si="217"/>
        <v>1.804875</v>
      </c>
      <c r="AE463" s="282">
        <f ca="1" t="shared" si="218"/>
        <v>0.45121875</v>
      </c>
      <c r="AF463" s="19" t="str">
        <f t="shared" si="219"/>
        <v>彩2</v>
      </c>
      <c r="AG463" s="19">
        <f>IFERROR(_xlfn.XLOOKUP(C463+1,[2]基因升级!$E$141:$E$500,[2]基因升级!$D$141:$D$500)-1,AG462)</f>
        <v>104</v>
      </c>
      <c r="AH463" s="19">
        <v>8</v>
      </c>
      <c r="AI463" s="19">
        <f t="shared" si="220"/>
        <v>10.5142500606751</v>
      </c>
      <c r="AJ463" s="19">
        <f t="shared" si="232"/>
        <v>0</v>
      </c>
      <c r="AK463" s="269">
        <v>2.0368</v>
      </c>
      <c r="AL463" s="287">
        <f t="shared" si="201"/>
        <v>15.2399999999998</v>
      </c>
      <c r="AM463" s="287">
        <f t="shared" si="202"/>
        <v>11.6399999999999</v>
      </c>
      <c r="AN463" s="287">
        <f t="shared" si="203"/>
        <v>8.04</v>
      </c>
      <c r="AO463" s="287">
        <f t="shared" si="238"/>
        <v>4.1</v>
      </c>
      <c r="AP463" s="86"/>
      <c r="AQ463" s="19">
        <f t="shared" si="221"/>
        <v>2.80419862436086</v>
      </c>
      <c r="AR463" s="19">
        <f t="shared" si="222"/>
        <v>2.19799738933534</v>
      </c>
      <c r="AS463" s="19">
        <f t="shared" si="223"/>
        <v>1.72284248396495</v>
      </c>
      <c r="AT463" s="19">
        <f t="shared" si="224"/>
        <v>1.31969474853087</v>
      </c>
      <c r="AU463" s="19">
        <f t="shared" si="225"/>
        <v>1</v>
      </c>
      <c r="AV463" s="232">
        <f t="shared" si="205"/>
        <v>0.0399999999999991</v>
      </c>
      <c r="AW463" s="232">
        <f t="shared" si="206"/>
        <v>0.0399999999999991</v>
      </c>
      <c r="AX463" s="232">
        <f t="shared" si="207"/>
        <v>0.04</v>
      </c>
      <c r="AY463" s="232">
        <f t="shared" si="208"/>
        <v>0.0999999999999996</v>
      </c>
      <c r="AZ463" s="232">
        <f t="shared" si="209"/>
        <v>0</v>
      </c>
    </row>
    <row r="464" spans="1:52">
      <c r="A464" s="269"/>
      <c r="C464" s="19">
        <v>341</v>
      </c>
      <c r="D464" s="86">
        <f ca="1" t="shared" si="233"/>
        <v>227.509069455718</v>
      </c>
      <c r="E464" s="251">
        <f ca="1" t="shared" si="210"/>
        <v>0.307768965825578</v>
      </c>
      <c r="F464" s="269">
        <f ca="1" t="shared" si="226"/>
        <v>497.071269012084</v>
      </c>
      <c r="G464" s="283">
        <f ca="1" t="shared" si="227"/>
        <v>152.983110405457</v>
      </c>
      <c r="H464" s="279">
        <f ca="1" t="shared" si="228"/>
        <v>0.178265108270807</v>
      </c>
      <c r="I464" s="269">
        <f ca="1">SUM($J$125:J464)/SUM($H$125:H464)</f>
        <v>0.519843038791754</v>
      </c>
      <c r="J464" s="284">
        <f t="shared" si="234"/>
        <v>0.0691865578696707</v>
      </c>
      <c r="K464" s="19">
        <f t="shared" si="236"/>
        <v>35000</v>
      </c>
      <c r="L464" s="269">
        <f t="shared" si="229"/>
        <v>2.74999999999996</v>
      </c>
      <c r="M464" s="226">
        <f ca="1" t="shared" si="230"/>
        <v>143.616</v>
      </c>
      <c r="N464" s="280">
        <f ca="1" t="shared" si="235"/>
        <v>0.109078550401122</v>
      </c>
      <c r="O464" s="226">
        <f t="shared" si="240"/>
        <v>52.8</v>
      </c>
      <c r="P464" s="19">
        <f ca="1" t="shared" si="204"/>
        <v>18.2</v>
      </c>
      <c r="Q464" s="226">
        <f ca="1" t="shared" si="239"/>
        <v>2.72</v>
      </c>
      <c r="R464" s="269">
        <f ca="1" t="shared" si="211"/>
        <v>0.745462361062289</v>
      </c>
      <c r="S464" s="266">
        <f ca="1" t="shared" si="212"/>
        <v>70.0323755759862</v>
      </c>
      <c r="T464" s="226">
        <f ca="1">(1+OFFSET('玩法产出(新)'!$C$18,MATCH(X464,'玩法产出(新)'!$B$19:$B$25,0),1)*(1-V464)+OFFSET('玩法产出(新)'!$C$18,1+MATCH(X464,'玩法产出(新)'!$B$19:$B$25,0),1)*(V464))^AA464*(1+OFFSET('玩法产出(新)'!$C$18,MATCH(X464,'玩法产出(新)'!$B$19:$B$25,0),3)*(1-V464)+OFFSET('玩法产出(新)'!$C$18,1+MATCH(X464,'玩法产出(新)'!$B$19:$B$25,0),3)*(V464))^AB464*(1+OFFSET('玩法产出(新)'!$C$18,MATCH(X464,'玩法产出(新)'!$B$19:$B$25,0),4)*(1-V464)+OFFSET('玩法产出(新)'!$C$18,1+MATCH(X464,'玩法产出(新)'!$B$19:$B$25,0),4)*(V464))^AC464*(1+OFFSET('玩法产出(新)'!$C$18,MATCH(X464,'玩法产出(新)'!$B$19:$B$25,0),5)*(1+V464)+OFFSET('玩法产出(新)'!$C$18,1+MATCH(X464,'玩法产出(新)'!$B$19:$B$25,5),1)*(V464))^AD464*(1+OFFSET('玩法产出(新)'!$C$18,MATCH(X464,'玩法产出(新)'!$B$19:$B$25,0),6)*(1+V464)+OFFSET('玩法产出(新)'!$C$18,1+MATCH(X464,'玩法产出(新)'!$B$19:$B$25,0),6)*(V464))^AE464</f>
        <v>114.239358234675</v>
      </c>
      <c r="U464" s="226">
        <f ca="1" t="shared" si="231"/>
        <v>0.129503857554785</v>
      </c>
      <c r="V464" s="226">
        <f ca="1">COUNTIF($X$124:$X464,X464)/(COUNTIF($X$124:$X$723,X464)+1)</f>
        <v>0.463917525773196</v>
      </c>
      <c r="W464" s="19">
        <v>30</v>
      </c>
      <c r="X464" s="19" t="s">
        <v>326</v>
      </c>
      <c r="Y464" s="19">
        <f t="shared" si="237"/>
        <v>35260</v>
      </c>
      <c r="Z464" s="19">
        <f ca="1" t="shared" si="213"/>
        <v>0.445863336340206</v>
      </c>
      <c r="AA464" s="282">
        <f ca="1" t="shared" si="214"/>
        <v>2.497040625</v>
      </c>
      <c r="AB464" s="282">
        <f ca="1" t="shared" si="215"/>
        <v>18</v>
      </c>
      <c r="AC464" s="282">
        <f ca="1" t="shared" si="216"/>
        <v>7.24035</v>
      </c>
      <c r="AD464" s="282">
        <f ca="1" t="shared" si="217"/>
        <v>1.8100875</v>
      </c>
      <c r="AE464" s="282">
        <f ca="1" t="shared" si="218"/>
        <v>0.452521875</v>
      </c>
      <c r="AF464" s="19" t="str">
        <f t="shared" si="219"/>
        <v>彩2</v>
      </c>
      <c r="AG464" s="19">
        <f>IFERROR(_xlfn.XLOOKUP(C464+1,[2]基因升级!$E$141:$E$500,[2]基因升级!$D$141:$D$500)-1,AG463)</f>
        <v>104</v>
      </c>
      <c r="AH464" s="19">
        <v>8</v>
      </c>
      <c r="AI464" s="19">
        <f t="shared" si="220"/>
        <v>10.5142500606751</v>
      </c>
      <c r="AJ464" s="19">
        <f t="shared" si="232"/>
        <v>0</v>
      </c>
      <c r="AK464" s="269">
        <v>2.0368</v>
      </c>
      <c r="AL464" s="287">
        <f t="shared" ref="AL464:AL527" si="241">AL463+0.04</f>
        <v>15.2799999999998</v>
      </c>
      <c r="AM464" s="287">
        <f t="shared" si="202"/>
        <v>11.6799999999999</v>
      </c>
      <c r="AN464" s="287">
        <f t="shared" si="203"/>
        <v>8.08</v>
      </c>
      <c r="AO464" s="287">
        <f t="shared" si="238"/>
        <v>4.2</v>
      </c>
      <c r="AP464" s="86"/>
      <c r="AQ464" s="19">
        <f t="shared" si="221"/>
        <v>2.81179803459807</v>
      </c>
      <c r="AR464" s="19">
        <f t="shared" si="222"/>
        <v>2.20395398731551</v>
      </c>
      <c r="AS464" s="19">
        <f t="shared" si="223"/>
        <v>1.72751140673525</v>
      </c>
      <c r="AT464" s="19">
        <f t="shared" si="224"/>
        <v>1.32865389886254</v>
      </c>
      <c r="AU464" s="19">
        <f t="shared" si="225"/>
        <v>1</v>
      </c>
      <c r="AV464" s="232">
        <f t="shared" si="205"/>
        <v>0.0399999999999991</v>
      </c>
      <c r="AW464" s="232">
        <f t="shared" si="206"/>
        <v>0.0399999999999991</v>
      </c>
      <c r="AX464" s="232">
        <f t="shared" si="207"/>
        <v>0.0399999999999991</v>
      </c>
      <c r="AY464" s="232">
        <f t="shared" si="208"/>
        <v>0.0999999999999996</v>
      </c>
      <c r="AZ464" s="232">
        <f t="shared" si="209"/>
        <v>0</v>
      </c>
    </row>
    <row r="465" spans="1:52">
      <c r="A465" s="269"/>
      <c r="C465" s="19">
        <v>342</v>
      </c>
      <c r="D465" s="86">
        <f ca="1" t="shared" si="233"/>
        <v>227.816008826358</v>
      </c>
      <c r="E465" s="251">
        <f ca="1" t="shared" si="210"/>
        <v>0.306939370640008</v>
      </c>
      <c r="F465" s="269">
        <f ca="1" t="shared" si="226"/>
        <v>498.992379383976</v>
      </c>
      <c r="G465" s="283">
        <f ca="1" t="shared" si="227"/>
        <v>153.160406882278</v>
      </c>
      <c r="H465" s="279">
        <f ca="1" t="shared" si="228"/>
        <v>0.17729647682097</v>
      </c>
      <c r="I465" s="269">
        <f ca="1">SUM($J$125:J465)/SUM($H$125:H465)</f>
        <v>0.519681336992157</v>
      </c>
      <c r="J465" s="284">
        <f t="shared" si="234"/>
        <v>0.0690170438537905</v>
      </c>
      <c r="K465" s="19">
        <f t="shared" si="236"/>
        <v>35100</v>
      </c>
      <c r="L465" s="269">
        <f t="shared" si="229"/>
        <v>2.75499999999996</v>
      </c>
      <c r="M465" s="226">
        <f ca="1" t="shared" si="230"/>
        <v>144.672</v>
      </c>
      <c r="N465" s="280">
        <f ca="1" t="shared" si="235"/>
        <v>0.108279432967223</v>
      </c>
      <c r="O465" s="226">
        <f t="shared" si="240"/>
        <v>52.8</v>
      </c>
      <c r="P465" s="19">
        <f ca="1" t="shared" si="204"/>
        <v>18.4</v>
      </c>
      <c r="Q465" s="226">
        <f ca="1" t="shared" si="239"/>
        <v>2.74</v>
      </c>
      <c r="R465" s="269">
        <f ca="1" t="shared" si="211"/>
        <v>0.746842349916393</v>
      </c>
      <c r="S465" s="266">
        <f ca="1" t="shared" si="212"/>
        <v>70.1620184698052</v>
      </c>
      <c r="T465" s="226">
        <f ca="1">(1+OFFSET('玩法产出(新)'!$C$18,MATCH(X465,'玩法产出(新)'!$B$19:$B$25,0),1)*(1-V465)+OFFSET('玩法产出(新)'!$C$18,1+MATCH(X465,'玩法产出(新)'!$B$19:$B$25,0),1)*(V465))^AA465*(1+OFFSET('玩法产出(新)'!$C$18,MATCH(X465,'玩法产出(新)'!$B$19:$B$25,0),3)*(1-V465)+OFFSET('玩法产出(新)'!$C$18,1+MATCH(X465,'玩法产出(新)'!$B$19:$B$25,0),3)*(V465))^AB465*(1+OFFSET('玩法产出(新)'!$C$18,MATCH(X465,'玩法产出(新)'!$B$19:$B$25,0),4)*(1-V465)+OFFSET('玩法产出(新)'!$C$18,1+MATCH(X465,'玩法产出(新)'!$B$19:$B$25,0),4)*(V465))^AC465*(1+OFFSET('玩法产出(新)'!$C$18,MATCH(X465,'玩法产出(新)'!$B$19:$B$25,0),5)*(1+V465)+OFFSET('玩法产出(新)'!$C$18,1+MATCH(X465,'玩法产出(新)'!$B$19:$B$25,5),1)*(V465))^AD465*(1+OFFSET('玩法产出(新)'!$C$18,MATCH(X465,'玩法产出(新)'!$B$19:$B$25,0),6)*(1+V465)+OFFSET('玩法产出(新)'!$C$18,1+MATCH(X465,'玩法产出(新)'!$B$19:$B$25,0),6)*(V465))^AE465</f>
        <v>115.245812119872</v>
      </c>
      <c r="U465" s="226">
        <f ca="1" t="shared" si="231"/>
        <v>0.129642893818995</v>
      </c>
      <c r="V465" s="226">
        <f ca="1">COUNTIF($X$124:$X465,X465)/(COUNTIF($X$124:$X$723,X465)+1)</f>
        <v>0.465979381443299</v>
      </c>
      <c r="W465" s="19">
        <v>30</v>
      </c>
      <c r="X465" s="19" t="s">
        <v>326</v>
      </c>
      <c r="Y465" s="19">
        <f t="shared" si="237"/>
        <v>35360</v>
      </c>
      <c r="Z465" s="19">
        <f ca="1" t="shared" si="213"/>
        <v>0.44118070515464</v>
      </c>
      <c r="AA465" s="282">
        <f ca="1" t="shared" si="214"/>
        <v>2.469675</v>
      </c>
      <c r="AB465" s="282">
        <f ca="1" t="shared" si="215"/>
        <v>18</v>
      </c>
      <c r="AC465" s="282">
        <f ca="1" t="shared" si="216"/>
        <v>7.2612</v>
      </c>
      <c r="AD465" s="282">
        <f ca="1" t="shared" si="217"/>
        <v>1.8153</v>
      </c>
      <c r="AE465" s="282">
        <f ca="1" t="shared" si="218"/>
        <v>0.453825</v>
      </c>
      <c r="AF465" s="19" t="str">
        <f t="shared" si="219"/>
        <v>彩2</v>
      </c>
      <c r="AG465" s="19">
        <f>IFERROR(_xlfn.XLOOKUP(C465+1,[2]基因升级!$E$141:$E$500,[2]基因升级!$D$141:$D$500)-1,AG464)</f>
        <v>104</v>
      </c>
      <c r="AH465" s="19">
        <v>8</v>
      </c>
      <c r="AI465" s="19">
        <f t="shared" si="220"/>
        <v>10.5142500606751</v>
      </c>
      <c r="AJ465" s="19">
        <f t="shared" si="232"/>
        <v>0</v>
      </c>
      <c r="AK465" s="269">
        <v>2.0368</v>
      </c>
      <c r="AL465" s="287">
        <f t="shared" si="241"/>
        <v>15.3199999999998</v>
      </c>
      <c r="AM465" s="287">
        <f t="shared" ref="AM465:AM528" si="242">AL375</f>
        <v>11.7199999999999</v>
      </c>
      <c r="AN465" s="287">
        <f t="shared" si="203"/>
        <v>8.12</v>
      </c>
      <c r="AO465" s="287">
        <f t="shared" si="238"/>
        <v>4.3</v>
      </c>
      <c r="AP465" s="86"/>
      <c r="AQ465" s="19">
        <f t="shared" si="221"/>
        <v>2.81941803932364</v>
      </c>
      <c r="AR465" s="19">
        <f t="shared" si="222"/>
        <v>2.2099267277441</v>
      </c>
      <c r="AS465" s="19">
        <f t="shared" si="223"/>
        <v>1.73219298233948</v>
      </c>
      <c r="AT465" s="19">
        <f t="shared" si="224"/>
        <v>1.33767387111894</v>
      </c>
      <c r="AU465" s="19">
        <f t="shared" si="225"/>
        <v>1</v>
      </c>
      <c r="AV465" s="232">
        <f t="shared" si="205"/>
        <v>0.0399999999999991</v>
      </c>
      <c r="AW465" s="232">
        <f t="shared" si="206"/>
        <v>0.0399999999999991</v>
      </c>
      <c r="AX465" s="232">
        <f t="shared" si="207"/>
        <v>0.0399999999999991</v>
      </c>
      <c r="AY465" s="232">
        <f t="shared" si="208"/>
        <v>0.0999999999999996</v>
      </c>
      <c r="AZ465" s="232">
        <f t="shared" si="209"/>
        <v>0</v>
      </c>
    </row>
    <row r="466" spans="1:52">
      <c r="A466" s="269"/>
      <c r="C466" s="19">
        <v>343</v>
      </c>
      <c r="D466" s="86">
        <f ca="1" t="shared" si="233"/>
        <v>228.122131008758</v>
      </c>
      <c r="E466" s="251">
        <f ca="1" t="shared" si="210"/>
        <v>0.306122182399365</v>
      </c>
      <c r="F466" s="269">
        <f ca="1" t="shared" si="226"/>
        <v>500.900477100965</v>
      </c>
      <c r="G466" s="283">
        <f ca="1" t="shared" si="227"/>
        <v>153.336747215031</v>
      </c>
      <c r="H466" s="279">
        <f ca="1" t="shared" si="228"/>
        <v>0.176340332753028</v>
      </c>
      <c r="I466" s="269">
        <f ca="1">SUM($J$125:J466)/SUM($H$125:H466)</f>
        <v>0.519522324130521</v>
      </c>
      <c r="J466" s="284">
        <f t="shared" si="234"/>
        <v>0.0688483935385449</v>
      </c>
      <c r="K466" s="19">
        <f t="shared" si="236"/>
        <v>35200</v>
      </c>
      <c r="L466" s="269">
        <f t="shared" si="229"/>
        <v>2.75999999999996</v>
      </c>
      <c r="M466" s="226">
        <f ca="1" t="shared" si="230"/>
        <v>145.728</v>
      </c>
      <c r="N466" s="280">
        <f ca="1" t="shared" si="235"/>
        <v>0.107491939214455</v>
      </c>
      <c r="O466" s="226">
        <f t="shared" si="240"/>
        <v>52.8</v>
      </c>
      <c r="P466" s="19">
        <f ca="1" t="shared" si="204"/>
        <v>18.6</v>
      </c>
      <c r="Q466" s="226">
        <f ca="1" t="shared" si="239"/>
        <v>2.76</v>
      </c>
      <c r="R466" s="269">
        <f ca="1" t="shared" si="211"/>
        <v>0.748223817891236</v>
      </c>
      <c r="S466" s="266">
        <f ca="1" t="shared" si="212"/>
        <v>70.2918003194515</v>
      </c>
      <c r="T466" s="226">
        <f ca="1">(1+OFFSET('玩法产出(新)'!$C$18,MATCH(X466,'玩法产出(新)'!$B$19:$B$25,0),1)*(1-V466)+OFFSET('玩法产出(新)'!$C$18,1+MATCH(X466,'玩法产出(新)'!$B$19:$B$25,0),1)*(V466))^AA466*(1+OFFSET('玩法产出(新)'!$C$18,MATCH(X466,'玩法产出(新)'!$B$19:$B$25,0),3)*(1-V466)+OFFSET('玩法产出(新)'!$C$18,1+MATCH(X466,'玩法产出(新)'!$B$19:$B$25,0),3)*(V466))^AB466*(1+OFFSET('玩法产出(新)'!$C$18,MATCH(X466,'玩法产出(新)'!$B$19:$B$25,0),4)*(1-V466)+OFFSET('玩法产出(新)'!$C$18,1+MATCH(X466,'玩法产出(新)'!$B$19:$B$25,0),4)*(V466))^AC466*(1+OFFSET('玩法产出(新)'!$C$18,MATCH(X466,'玩法产出(新)'!$B$19:$B$25,0),5)*(1+V466)+OFFSET('玩法产出(新)'!$C$18,1+MATCH(X466,'玩法产出(新)'!$B$19:$B$25,5),1)*(V466))^AD466*(1+OFFSET('玩法产出(新)'!$C$18,MATCH(X466,'玩法产出(新)'!$B$19:$B$25,0),6)*(1+V466)+OFFSET('玩法产出(新)'!$C$18,1+MATCH(X466,'玩法产出(新)'!$B$19:$B$25,0),6)*(V466))^AE466</f>
        <v>116.262225950633</v>
      </c>
      <c r="U466" s="226">
        <f ca="1" t="shared" si="231"/>
        <v>0.129781849646365</v>
      </c>
      <c r="V466" s="226">
        <f ca="1">COUNTIF($X$124:$X466,X466)/(COUNTIF($X$124:$X$723,X466)+1)</f>
        <v>0.468041237113402</v>
      </c>
      <c r="W466" s="19">
        <v>30</v>
      </c>
      <c r="X466" s="19" t="s">
        <v>326</v>
      </c>
      <c r="Y466" s="19">
        <f t="shared" si="237"/>
        <v>35460</v>
      </c>
      <c r="Z466" s="19">
        <f ca="1" t="shared" si="213"/>
        <v>0.436493560051547</v>
      </c>
      <c r="AA466" s="282">
        <f ca="1" t="shared" si="214"/>
        <v>2.442309375</v>
      </c>
      <c r="AB466" s="282">
        <f ca="1" t="shared" si="215"/>
        <v>18</v>
      </c>
      <c r="AC466" s="282">
        <f ca="1" t="shared" si="216"/>
        <v>7.28205</v>
      </c>
      <c r="AD466" s="282">
        <f ca="1" t="shared" si="217"/>
        <v>1.8205125</v>
      </c>
      <c r="AE466" s="282">
        <f ca="1" t="shared" si="218"/>
        <v>0.455128125</v>
      </c>
      <c r="AF466" s="19" t="str">
        <f t="shared" si="219"/>
        <v>彩2</v>
      </c>
      <c r="AG466" s="19">
        <f>IFERROR(_xlfn.XLOOKUP(C466+1,[2]基因升级!$E$141:$E$500,[2]基因升级!$D$141:$D$500)-1,AG465)</f>
        <v>104</v>
      </c>
      <c r="AH466" s="19">
        <v>8</v>
      </c>
      <c r="AI466" s="19">
        <f t="shared" si="220"/>
        <v>10.5142500606751</v>
      </c>
      <c r="AJ466" s="19">
        <f t="shared" si="232"/>
        <v>0</v>
      </c>
      <c r="AK466" s="269">
        <v>2.0368</v>
      </c>
      <c r="AL466" s="287">
        <f t="shared" si="241"/>
        <v>15.3599999999998</v>
      </c>
      <c r="AM466" s="287">
        <f t="shared" si="242"/>
        <v>11.7599999999999</v>
      </c>
      <c r="AN466" s="287">
        <f t="shared" si="203"/>
        <v>8.16</v>
      </c>
      <c r="AO466" s="287">
        <f t="shared" si="238"/>
        <v>4.4</v>
      </c>
      <c r="AP466" s="86"/>
      <c r="AQ466" s="19">
        <f t="shared" si="221"/>
        <v>2.82705869434888</v>
      </c>
      <c r="AR466" s="19">
        <f t="shared" si="222"/>
        <v>2.21591565436734</v>
      </c>
      <c r="AS466" s="19">
        <f t="shared" si="223"/>
        <v>1.73688724506697</v>
      </c>
      <c r="AT466" s="19">
        <f t="shared" si="224"/>
        <v>1.34675507820826</v>
      </c>
      <c r="AU466" s="19">
        <f t="shared" si="225"/>
        <v>1</v>
      </c>
      <c r="AV466" s="232">
        <f t="shared" si="205"/>
        <v>0.0399999999999991</v>
      </c>
      <c r="AW466" s="232">
        <f t="shared" si="206"/>
        <v>0.0399999999999991</v>
      </c>
      <c r="AX466" s="232">
        <f t="shared" si="207"/>
        <v>0.0399999999999991</v>
      </c>
      <c r="AY466" s="232">
        <f t="shared" si="208"/>
        <v>0.0999999999999996</v>
      </c>
      <c r="AZ466" s="232">
        <f t="shared" si="209"/>
        <v>0</v>
      </c>
    </row>
    <row r="467" spans="1:52">
      <c r="A467" s="269"/>
      <c r="C467" s="19">
        <v>344</v>
      </c>
      <c r="D467" s="86">
        <f ca="1" t="shared" si="233"/>
        <v>228.427448151377</v>
      </c>
      <c r="E467" s="251">
        <f ca="1" t="shared" si="210"/>
        <v>0.305317142619802</v>
      </c>
      <c r="F467" s="269">
        <f ca="1" t="shared" si="226"/>
        <v>502.795690786592</v>
      </c>
      <c r="G467" s="283">
        <f ca="1" t="shared" si="227"/>
        <v>153.512143632512</v>
      </c>
      <c r="H467" s="279">
        <f ca="1" t="shared" si="228"/>
        <v>0.175396417481181</v>
      </c>
      <c r="I467" s="269">
        <f ca="1">SUM($J$125:J467)/SUM($H$125:H467)</f>
        <v>0.519365948831772</v>
      </c>
      <c r="J467" s="284">
        <f t="shared" si="234"/>
        <v>0.068680600119265</v>
      </c>
      <c r="K467" s="19">
        <f t="shared" si="236"/>
        <v>35300</v>
      </c>
      <c r="L467" s="269">
        <f t="shared" si="229"/>
        <v>2.76499999999996</v>
      </c>
      <c r="M467" s="226">
        <f ca="1" t="shared" si="230"/>
        <v>146.784</v>
      </c>
      <c r="N467" s="280">
        <f ca="1" t="shared" si="235"/>
        <v>0.10671581736193</v>
      </c>
      <c r="O467" s="226">
        <f t="shared" si="240"/>
        <v>52.8</v>
      </c>
      <c r="P467" s="19">
        <f ca="1" t="shared" si="204"/>
        <v>18.8</v>
      </c>
      <c r="Q467" s="226">
        <f ca="1" t="shared" si="239"/>
        <v>2.78</v>
      </c>
      <c r="R467" s="269">
        <f ca="1" t="shared" si="211"/>
        <v>0.749606764131688</v>
      </c>
      <c r="S467" s="266">
        <f ca="1" t="shared" si="212"/>
        <v>70.4217210445901</v>
      </c>
      <c r="T467" s="226">
        <f ca="1">(1+OFFSET('玩法产出(新)'!$C$18,MATCH(X467,'玩法产出(新)'!$B$19:$B$25,0),1)*(1-V467)+OFFSET('玩法产出(新)'!$C$18,1+MATCH(X467,'玩法产出(新)'!$B$19:$B$25,0),1)*(V467))^AA467*(1+OFFSET('玩法产出(新)'!$C$18,MATCH(X467,'玩法产出(新)'!$B$19:$B$25,0),3)*(1-V467)+OFFSET('玩法产出(新)'!$C$18,1+MATCH(X467,'玩法产出(新)'!$B$19:$B$25,0),3)*(V467))^AB467*(1+OFFSET('玩法产出(新)'!$C$18,MATCH(X467,'玩法产出(新)'!$B$19:$B$25,0),4)*(1-V467)+OFFSET('玩法产出(新)'!$C$18,1+MATCH(X467,'玩法产出(新)'!$B$19:$B$25,0),4)*(V467))^AC467*(1+OFFSET('玩法产出(新)'!$C$18,MATCH(X467,'玩法产出(新)'!$B$19:$B$25,0),5)*(1+V467)+OFFSET('玩法产出(新)'!$C$18,1+MATCH(X467,'玩法产出(新)'!$B$19:$B$25,5),1)*(V467))^AD467*(1+OFFSET('玩法产出(新)'!$C$18,MATCH(X467,'玩法产出(新)'!$B$19:$B$25,0),6)*(1+V467)+OFFSET('玩法产出(新)'!$C$18,1+MATCH(X467,'玩法产出(新)'!$B$19:$B$25,0),6)*(V467))^AE467</f>
        <v>117.288706127611</v>
      </c>
      <c r="U467" s="226">
        <f ca="1" t="shared" si="231"/>
        <v>0.129920725138606</v>
      </c>
      <c r="V467" s="226">
        <f ca="1">COUNTIF($X$124:$X467,X467)/(COUNTIF($X$124:$X$723,X467)+1)</f>
        <v>0.470103092783505</v>
      </c>
      <c r="W467" s="19">
        <v>30</v>
      </c>
      <c r="X467" s="19" t="s">
        <v>326</v>
      </c>
      <c r="Y467" s="19">
        <f t="shared" si="237"/>
        <v>35560</v>
      </c>
      <c r="Z467" s="19">
        <f ca="1" t="shared" si="213"/>
        <v>0.431801901030928</v>
      </c>
      <c r="AA467" s="282">
        <f ca="1" t="shared" si="214"/>
        <v>2.41494375</v>
      </c>
      <c r="AB467" s="282">
        <f ca="1" t="shared" si="215"/>
        <v>18</v>
      </c>
      <c r="AC467" s="282">
        <f ca="1" t="shared" si="216"/>
        <v>7.3029</v>
      </c>
      <c r="AD467" s="282">
        <f ca="1" t="shared" si="217"/>
        <v>1.825725</v>
      </c>
      <c r="AE467" s="282">
        <f ca="1" t="shared" si="218"/>
        <v>0.45643125</v>
      </c>
      <c r="AF467" s="19" t="str">
        <f t="shared" si="219"/>
        <v>彩2</v>
      </c>
      <c r="AG467" s="19">
        <f>IFERROR(_xlfn.XLOOKUP(C467+1,[2]基因升级!$E$141:$E$500,[2]基因升级!$D$141:$D$500)-1,AG466)</f>
        <v>104</v>
      </c>
      <c r="AH467" s="19">
        <v>8</v>
      </c>
      <c r="AI467" s="19">
        <f t="shared" si="220"/>
        <v>10.5142500606751</v>
      </c>
      <c r="AJ467" s="19">
        <f t="shared" si="232"/>
        <v>0</v>
      </c>
      <c r="AK467" s="269">
        <v>2.0368</v>
      </c>
      <c r="AL467" s="287">
        <f t="shared" si="241"/>
        <v>15.3999999999998</v>
      </c>
      <c r="AM467" s="287">
        <f t="shared" si="242"/>
        <v>11.7999999999999</v>
      </c>
      <c r="AN467" s="287">
        <f t="shared" si="203"/>
        <v>8.2</v>
      </c>
      <c r="AO467" s="287">
        <f t="shared" si="238"/>
        <v>4.5</v>
      </c>
      <c r="AP467" s="86"/>
      <c r="AQ467" s="19">
        <f t="shared" si="221"/>
        <v>2.83472005563634</v>
      </c>
      <c r="AR467" s="19">
        <f t="shared" si="222"/>
        <v>2.22192081105</v>
      </c>
      <c r="AS467" s="19">
        <f t="shared" si="223"/>
        <v>1.74159422929996</v>
      </c>
      <c r="AT467" s="19">
        <f t="shared" si="224"/>
        <v>1.35589793584184</v>
      </c>
      <c r="AU467" s="19">
        <f t="shared" si="225"/>
        <v>1</v>
      </c>
      <c r="AV467" s="232">
        <f t="shared" si="205"/>
        <v>0.0399999999999991</v>
      </c>
      <c r="AW467" s="232">
        <f t="shared" si="206"/>
        <v>0.0399999999999991</v>
      </c>
      <c r="AX467" s="232">
        <f t="shared" si="207"/>
        <v>0.0399999999999991</v>
      </c>
      <c r="AY467" s="232">
        <f t="shared" si="208"/>
        <v>0.0999999999999996</v>
      </c>
      <c r="AZ467" s="232">
        <f t="shared" si="209"/>
        <v>0</v>
      </c>
    </row>
    <row r="468" spans="1:52">
      <c r="A468" s="269"/>
      <c r="C468" s="19">
        <v>345</v>
      </c>
      <c r="D468" s="86">
        <f ca="1" t="shared" si="233"/>
        <v>228.731972151487</v>
      </c>
      <c r="E468" s="251">
        <f ca="1" t="shared" si="210"/>
        <v>0.304524000109872</v>
      </c>
      <c r="F468" s="269">
        <f ca="1" t="shared" si="226"/>
        <v>504.678147064844</v>
      </c>
      <c r="G468" s="283">
        <f ca="1" t="shared" si="227"/>
        <v>153.686608112224</v>
      </c>
      <c r="H468" s="279">
        <f ca="1" t="shared" si="228"/>
        <v>0.174464479712583</v>
      </c>
      <c r="I468" s="269">
        <f ca="1">SUM($J$125:J468)/SUM($H$125:H468)</f>
        <v>0.51921216099121</v>
      </c>
      <c r="J468" s="284">
        <f t="shared" si="234"/>
        <v>0.0685136568641269</v>
      </c>
      <c r="K468" s="19">
        <f t="shared" si="236"/>
        <v>35400</v>
      </c>
      <c r="L468" s="269">
        <f t="shared" si="229"/>
        <v>2.76999999999996</v>
      </c>
      <c r="M468" s="226">
        <f ca="1" t="shared" si="230"/>
        <v>147.84</v>
      </c>
      <c r="N468" s="280">
        <f ca="1" t="shared" si="235"/>
        <v>0.105950822848428</v>
      </c>
      <c r="O468" s="226">
        <f t="shared" si="240"/>
        <v>52.8</v>
      </c>
      <c r="P468" s="19">
        <f ca="1" t="shared" si="204"/>
        <v>19</v>
      </c>
      <c r="Q468" s="226">
        <f ca="1" t="shared" si="239"/>
        <v>2.8</v>
      </c>
      <c r="R468" s="269">
        <f ca="1" t="shared" si="211"/>
        <v>0.750991187783701</v>
      </c>
      <c r="S468" s="266">
        <f ca="1" t="shared" si="212"/>
        <v>70.5517805649875</v>
      </c>
      <c r="T468" s="226">
        <f ca="1">(1+OFFSET('玩法产出(新)'!$C$18,MATCH(X468,'玩法产出(新)'!$B$19:$B$25,0),1)*(1-V468)+OFFSET('玩法产出(新)'!$C$18,1+MATCH(X468,'玩法产出(新)'!$B$19:$B$25,0),1)*(V468))^AA468*(1+OFFSET('玩法产出(新)'!$C$18,MATCH(X468,'玩法产出(新)'!$B$19:$B$25,0),3)*(1-V468)+OFFSET('玩法产出(新)'!$C$18,1+MATCH(X468,'玩法产出(新)'!$B$19:$B$25,0),3)*(V468))^AB468*(1+OFFSET('玩法产出(新)'!$C$18,MATCH(X468,'玩法产出(新)'!$B$19:$B$25,0),4)*(1-V468)+OFFSET('玩法产出(新)'!$C$18,1+MATCH(X468,'玩法产出(新)'!$B$19:$B$25,0),4)*(V468))^AC468*(1+OFFSET('玩法产出(新)'!$C$18,MATCH(X468,'玩法产出(新)'!$B$19:$B$25,0),5)*(1+V468)+OFFSET('玩法产出(新)'!$C$18,1+MATCH(X468,'玩法产出(新)'!$B$19:$B$25,5),1)*(V468))^AD468*(1+OFFSET('玩法产出(新)'!$C$18,MATCH(X468,'玩法产出(新)'!$B$19:$B$25,0),6)*(1+V468)+OFFSET('玩法产出(新)'!$C$18,1+MATCH(X468,'玩法产出(新)'!$B$19:$B$25,0),6)*(V468))^AE468</f>
        <v>118.325360259458</v>
      </c>
      <c r="U468" s="226">
        <f ca="1" t="shared" si="231"/>
        <v>0.130059520397317</v>
      </c>
      <c r="V468" s="226">
        <f ca="1">COUNTIF($X$124:$X468,X468)/(COUNTIF($X$124:$X$723,X468)+1)</f>
        <v>0.472164948453608</v>
      </c>
      <c r="W468" s="19">
        <v>30</v>
      </c>
      <c r="X468" s="19" t="s">
        <v>326</v>
      </c>
      <c r="Y468" s="19">
        <f t="shared" si="237"/>
        <v>35660</v>
      </c>
      <c r="Z468" s="19">
        <f ca="1" t="shared" si="213"/>
        <v>0.427105728092783</v>
      </c>
      <c r="AA468" s="282">
        <f ca="1" t="shared" si="214"/>
        <v>2.387578125</v>
      </c>
      <c r="AB468" s="282">
        <f ca="1" t="shared" si="215"/>
        <v>18</v>
      </c>
      <c r="AC468" s="282">
        <f ca="1" t="shared" si="216"/>
        <v>7.32375</v>
      </c>
      <c r="AD468" s="282">
        <f ca="1" t="shared" si="217"/>
        <v>1.8309375</v>
      </c>
      <c r="AE468" s="282">
        <f ca="1" t="shared" si="218"/>
        <v>0.457734375</v>
      </c>
      <c r="AF468" s="19" t="str">
        <f t="shared" si="219"/>
        <v>彩2</v>
      </c>
      <c r="AG468" s="19">
        <f>IFERROR(_xlfn.XLOOKUP(C468+1,[2]基因升级!$E$141:$E$500,[2]基因升级!$D$141:$D$500)-1,AG467)</f>
        <v>104</v>
      </c>
      <c r="AH468" s="19">
        <v>8</v>
      </c>
      <c r="AI468" s="19">
        <f t="shared" si="220"/>
        <v>10.5142500606751</v>
      </c>
      <c r="AJ468" s="19">
        <f t="shared" si="232"/>
        <v>0</v>
      </c>
      <c r="AK468" s="269">
        <v>2.0368</v>
      </c>
      <c r="AL468" s="287">
        <f t="shared" si="241"/>
        <v>15.4399999999998</v>
      </c>
      <c r="AM468" s="287">
        <f t="shared" si="242"/>
        <v>11.8399999999999</v>
      </c>
      <c r="AN468" s="287">
        <f t="shared" si="203"/>
        <v>8.23999999999999</v>
      </c>
      <c r="AO468" s="287">
        <f t="shared" si="238"/>
        <v>4.55</v>
      </c>
      <c r="AP468" s="86"/>
      <c r="AQ468" s="19">
        <f t="shared" si="221"/>
        <v>2.84240217930021</v>
      </c>
      <c r="AR468" s="19">
        <f t="shared" si="222"/>
        <v>2.22794224177572</v>
      </c>
      <c r="AS468" s="19">
        <f t="shared" si="223"/>
        <v>1.74631396951387</v>
      </c>
      <c r="AT468" s="19">
        <f t="shared" si="224"/>
        <v>1.36049261429369</v>
      </c>
      <c r="AU468" s="19">
        <f t="shared" si="225"/>
        <v>1</v>
      </c>
      <c r="AV468" s="232">
        <f t="shared" si="205"/>
        <v>0.0399999999999991</v>
      </c>
      <c r="AW468" s="232">
        <f t="shared" si="206"/>
        <v>0.0399999999999991</v>
      </c>
      <c r="AX468" s="232">
        <f t="shared" si="207"/>
        <v>0.0399999999999991</v>
      </c>
      <c r="AY468" s="232">
        <f t="shared" si="208"/>
        <v>0.0499999999999998</v>
      </c>
      <c r="AZ468" s="232">
        <f t="shared" si="209"/>
        <v>0</v>
      </c>
    </row>
    <row r="469" spans="1:52">
      <c r="A469" s="269"/>
      <c r="C469" s="19">
        <v>346</v>
      </c>
      <c r="D469" s="86">
        <f ca="1" t="shared" si="233"/>
        <v>229.0357146622</v>
      </c>
      <c r="E469" s="251">
        <f ca="1" t="shared" si="210"/>
        <v>0.303742510712631</v>
      </c>
      <c r="F469" s="269">
        <f ca="1" t="shared" si="226"/>
        <v>506.54797060323</v>
      </c>
      <c r="G469" s="283">
        <f ca="1" t="shared" si="227"/>
        <v>153.860152387413</v>
      </c>
      <c r="H469" s="279">
        <f ca="1" t="shared" si="228"/>
        <v>0.173544275189016</v>
      </c>
      <c r="I469" s="269">
        <f ca="1">SUM($J$125:J469)/SUM($H$125:H469)</f>
        <v>0.519060911735083</v>
      </c>
      <c r="J469" s="284">
        <f t="shared" si="234"/>
        <v>0.0683475571135972</v>
      </c>
      <c r="K469" s="19">
        <f t="shared" si="236"/>
        <v>35500</v>
      </c>
      <c r="L469" s="269">
        <f t="shared" si="229"/>
        <v>2.77499999999996</v>
      </c>
      <c r="M469" s="226">
        <f ca="1" t="shared" si="230"/>
        <v>148.896</v>
      </c>
      <c r="N469" s="280">
        <f ca="1" t="shared" si="235"/>
        <v>0.105196718075419</v>
      </c>
      <c r="O469" s="226">
        <f t="shared" si="240"/>
        <v>52.8</v>
      </c>
      <c r="P469" s="19">
        <f ca="1" t="shared" si="204"/>
        <v>19.2</v>
      </c>
      <c r="Q469" s="226">
        <f ca="1" t="shared" si="239"/>
        <v>2.82</v>
      </c>
      <c r="R469" s="269">
        <f ca="1" t="shared" si="211"/>
        <v>0.752377087994301</v>
      </c>
      <c r="S469" s="266">
        <f ca="1" t="shared" si="212"/>
        <v>70.6819788005111</v>
      </c>
      <c r="T469" s="226">
        <f ca="1">(1+OFFSET('玩法产出(新)'!$C$18,MATCH(X469,'玩法产出(新)'!$B$19:$B$25,0),1)*(1-V469)+OFFSET('玩法产出(新)'!$C$18,1+MATCH(X469,'玩法产出(新)'!$B$19:$B$25,0),1)*(V469))^AA469*(1+OFFSET('玩法产出(新)'!$C$18,MATCH(X469,'玩法产出(新)'!$B$19:$B$25,0),3)*(1-V469)+OFFSET('玩法产出(新)'!$C$18,1+MATCH(X469,'玩法产出(新)'!$B$19:$B$25,0),3)*(V469))^AB469*(1+OFFSET('玩法产出(新)'!$C$18,MATCH(X469,'玩法产出(新)'!$B$19:$B$25,0),4)*(1-V469)+OFFSET('玩法产出(新)'!$C$18,1+MATCH(X469,'玩法产出(新)'!$B$19:$B$25,0),4)*(V469))^AC469*(1+OFFSET('玩法产出(新)'!$C$18,MATCH(X469,'玩法产出(新)'!$B$19:$B$25,0),5)*(1+V469)+OFFSET('玩法产出(新)'!$C$18,1+MATCH(X469,'玩法产出(新)'!$B$19:$B$25,5),1)*(V469))^AD469*(1+OFFSET('玩法产出(新)'!$C$18,MATCH(X469,'玩法产出(新)'!$B$19:$B$25,0),6)*(1+V469)+OFFSET('玩法产出(新)'!$C$18,1+MATCH(X469,'玩法产出(新)'!$B$19:$B$25,0),6)*(V469))^AE469</f>
        <v>119.372297177245</v>
      </c>
      <c r="U469" s="226">
        <f ca="1" t="shared" si="231"/>
        <v>0.130198235523615</v>
      </c>
      <c r="V469" s="226">
        <f ca="1">COUNTIF($X$124:$X469,X469)/(COUNTIF($X$124:$X$723,X469)+1)</f>
        <v>0.474226804123711</v>
      </c>
      <c r="W469" s="19">
        <v>30</v>
      </c>
      <c r="X469" s="19" t="s">
        <v>326</v>
      </c>
      <c r="Y469" s="19">
        <f t="shared" si="237"/>
        <v>35760</v>
      </c>
      <c r="Z469" s="19">
        <f ca="1" t="shared" si="213"/>
        <v>0.422405041237113</v>
      </c>
      <c r="AA469" s="282">
        <f ca="1" t="shared" si="214"/>
        <v>2.3602125</v>
      </c>
      <c r="AB469" s="282">
        <f ca="1" t="shared" si="215"/>
        <v>18</v>
      </c>
      <c r="AC469" s="282">
        <f ca="1" t="shared" si="216"/>
        <v>7.3446</v>
      </c>
      <c r="AD469" s="282">
        <f ca="1" t="shared" si="217"/>
        <v>1.83615</v>
      </c>
      <c r="AE469" s="282">
        <f ca="1" t="shared" si="218"/>
        <v>0.4590375</v>
      </c>
      <c r="AF469" s="19" t="str">
        <f t="shared" si="219"/>
        <v>彩2</v>
      </c>
      <c r="AG469" s="19">
        <f>IFERROR(_xlfn.XLOOKUP(C469+1,[2]基因升级!$E$141:$E$500,[2]基因升级!$D$141:$D$500)-1,AG468)</f>
        <v>104</v>
      </c>
      <c r="AH469" s="19">
        <v>8</v>
      </c>
      <c r="AI469" s="19">
        <f t="shared" si="220"/>
        <v>10.5142500606751</v>
      </c>
      <c r="AJ469" s="19">
        <f t="shared" si="232"/>
        <v>0</v>
      </c>
      <c r="AK469" s="269">
        <v>2.0368</v>
      </c>
      <c r="AL469" s="287">
        <f t="shared" si="241"/>
        <v>15.4799999999998</v>
      </c>
      <c r="AM469" s="287">
        <f t="shared" si="242"/>
        <v>11.8799999999999</v>
      </c>
      <c r="AN469" s="287">
        <f t="shared" si="203"/>
        <v>8.27999999999999</v>
      </c>
      <c r="AO469" s="287">
        <f t="shared" si="238"/>
        <v>4.6</v>
      </c>
      <c r="AP469" s="86"/>
      <c r="AQ469" s="19">
        <f t="shared" si="221"/>
        <v>2.85010512160679</v>
      </c>
      <c r="AR469" s="19">
        <f t="shared" si="222"/>
        <v>2.23397999064735</v>
      </c>
      <c r="AS469" s="19">
        <f t="shared" si="223"/>
        <v>1.75104650027756</v>
      </c>
      <c r="AT469" s="19">
        <f t="shared" si="224"/>
        <v>1.3651028625532</v>
      </c>
      <c r="AU469" s="19">
        <f t="shared" si="225"/>
        <v>1</v>
      </c>
      <c r="AV469" s="232">
        <f t="shared" si="205"/>
        <v>0.0399999999999991</v>
      </c>
      <c r="AW469" s="232">
        <f t="shared" si="206"/>
        <v>0.0399999999999991</v>
      </c>
      <c r="AX469" s="232">
        <f t="shared" si="207"/>
        <v>0.0399999999999991</v>
      </c>
      <c r="AY469" s="232">
        <f t="shared" si="208"/>
        <v>0.0499999999999998</v>
      </c>
      <c r="AZ469" s="232">
        <f t="shared" si="209"/>
        <v>0</v>
      </c>
    </row>
    <row r="470" spans="1:52">
      <c r="A470" s="269"/>
      <c r="C470" s="19">
        <v>347</v>
      </c>
      <c r="D470" s="86">
        <f ca="1" t="shared" si="233"/>
        <v>229.338687099259</v>
      </c>
      <c r="E470" s="251">
        <f ca="1" t="shared" si="210"/>
        <v>0.302972437059038</v>
      </c>
      <c r="F470" s="269">
        <f ca="1" t="shared" si="226"/>
        <v>508.405284154077</v>
      </c>
      <c r="G470" s="283">
        <f ca="1" t="shared" si="227"/>
        <v>154.032787953854</v>
      </c>
      <c r="H470" s="279">
        <f ca="1" t="shared" si="228"/>
        <v>0.172635566440192</v>
      </c>
      <c r="I470" s="269">
        <f ca="1">SUM($J$125:J470)/SUM($H$125:H470)</f>
        <v>0.518912153382629</v>
      </c>
      <c r="J470" s="284">
        <f t="shared" si="234"/>
        <v>0.0681822942790262</v>
      </c>
      <c r="K470" s="19">
        <f t="shared" si="236"/>
        <v>35600</v>
      </c>
      <c r="L470" s="269">
        <f t="shared" si="229"/>
        <v>2.77999999999996</v>
      </c>
      <c r="M470" s="226">
        <f ca="1" t="shared" si="230"/>
        <v>149.952</v>
      </c>
      <c r="N470" s="280">
        <f ca="1" t="shared" si="235"/>
        <v>0.10445327216118</v>
      </c>
      <c r="O470" s="226">
        <f t="shared" si="240"/>
        <v>52.8</v>
      </c>
      <c r="P470" s="19">
        <f ca="1" t="shared" si="204"/>
        <v>19.4</v>
      </c>
      <c r="Q470" s="226">
        <f ca="1" t="shared" si="239"/>
        <v>2.84</v>
      </c>
      <c r="R470" s="269">
        <f ca="1" t="shared" si="211"/>
        <v>0.753764463911594</v>
      </c>
      <c r="S470" s="266">
        <f ca="1" t="shared" si="212"/>
        <v>70.8123156711299</v>
      </c>
      <c r="T470" s="226">
        <f ca="1">(1+OFFSET('玩法产出(新)'!$C$18,MATCH(X470,'玩法产出(新)'!$B$19:$B$25,0),1)*(1-V470)+OFFSET('玩法产出(新)'!$C$18,1+MATCH(X470,'玩法产出(新)'!$B$19:$B$25,0),1)*(V470))^AA470*(1+OFFSET('玩法产出(新)'!$C$18,MATCH(X470,'玩法产出(新)'!$B$19:$B$25,0),3)*(1-V470)+OFFSET('玩法产出(新)'!$C$18,1+MATCH(X470,'玩法产出(新)'!$B$19:$B$25,0),3)*(V470))^AB470*(1+OFFSET('玩法产出(新)'!$C$18,MATCH(X470,'玩法产出(新)'!$B$19:$B$25,0),4)*(1-V470)+OFFSET('玩法产出(新)'!$C$18,1+MATCH(X470,'玩法产出(新)'!$B$19:$B$25,0),4)*(V470))^AC470*(1+OFFSET('玩法产出(新)'!$C$18,MATCH(X470,'玩法产出(新)'!$B$19:$B$25,0),5)*(1+V470)+OFFSET('玩法产出(新)'!$C$18,1+MATCH(X470,'玩法产出(新)'!$B$19:$B$25,5),1)*(V470))^AD470*(1+OFFSET('玩法产出(新)'!$C$18,MATCH(X470,'玩法产出(新)'!$B$19:$B$25,0),6)*(1+V470)+OFFSET('玩法产出(新)'!$C$18,1+MATCH(X470,'玩法产出(新)'!$B$19:$B$25,0),6)*(V470))^AE470</f>
        <v>120.429626949071</v>
      </c>
      <c r="U470" s="226">
        <f ca="1" t="shared" si="231"/>
        <v>0.130336870618832</v>
      </c>
      <c r="V470" s="226">
        <f ca="1">COUNTIF($X$124:$X470,X470)/(COUNTIF($X$124:$X$723,X470)+1)</f>
        <v>0.476288659793814</v>
      </c>
      <c r="W470" s="19">
        <v>30</v>
      </c>
      <c r="X470" s="19" t="s">
        <v>326</v>
      </c>
      <c r="Y470" s="19">
        <f t="shared" si="237"/>
        <v>35860</v>
      </c>
      <c r="Z470" s="19">
        <f ca="1" t="shared" si="213"/>
        <v>0.417699840463918</v>
      </c>
      <c r="AA470" s="282">
        <f ca="1" t="shared" si="214"/>
        <v>2.332846875</v>
      </c>
      <c r="AB470" s="282">
        <f ca="1" t="shared" si="215"/>
        <v>18</v>
      </c>
      <c r="AC470" s="282">
        <f ca="1" t="shared" si="216"/>
        <v>7.36545</v>
      </c>
      <c r="AD470" s="282">
        <f ca="1" t="shared" si="217"/>
        <v>1.8413625</v>
      </c>
      <c r="AE470" s="282">
        <f ca="1" t="shared" si="218"/>
        <v>0.460340625</v>
      </c>
      <c r="AF470" s="19" t="str">
        <f t="shared" si="219"/>
        <v>彩2</v>
      </c>
      <c r="AG470" s="19">
        <f>IFERROR(_xlfn.XLOOKUP(C470+1,[2]基因升级!$E$141:$E$500,[2]基因升级!$D$141:$D$500)-1,AG469)</f>
        <v>104</v>
      </c>
      <c r="AH470" s="19">
        <v>8</v>
      </c>
      <c r="AI470" s="19">
        <f t="shared" si="220"/>
        <v>10.5142500606751</v>
      </c>
      <c r="AJ470" s="19">
        <f t="shared" si="232"/>
        <v>0</v>
      </c>
      <c r="AK470" s="269">
        <v>2.0368</v>
      </c>
      <c r="AL470" s="287">
        <f t="shared" si="241"/>
        <v>15.5199999999998</v>
      </c>
      <c r="AM470" s="287">
        <f t="shared" si="242"/>
        <v>11.9199999999999</v>
      </c>
      <c r="AN470" s="287">
        <f t="shared" si="203"/>
        <v>8.31999999999999</v>
      </c>
      <c r="AO470" s="287">
        <f t="shared" si="238"/>
        <v>4.65</v>
      </c>
      <c r="AP470" s="86"/>
      <c r="AQ470" s="19">
        <f t="shared" si="221"/>
        <v>2.85782893897482</v>
      </c>
      <c r="AR470" s="19">
        <f t="shared" si="222"/>
        <v>2.24003410188724</v>
      </c>
      <c r="AS470" s="19">
        <f t="shared" si="223"/>
        <v>1.75579185625357</v>
      </c>
      <c r="AT470" s="19">
        <f t="shared" si="224"/>
        <v>1.36972873338119</v>
      </c>
      <c r="AU470" s="19">
        <f t="shared" si="225"/>
        <v>1</v>
      </c>
      <c r="AV470" s="232">
        <f t="shared" si="205"/>
        <v>0.0399999999999991</v>
      </c>
      <c r="AW470" s="232">
        <f t="shared" si="206"/>
        <v>0.0399999999999991</v>
      </c>
      <c r="AX470" s="232">
        <f t="shared" si="207"/>
        <v>0.0399999999999991</v>
      </c>
      <c r="AY470" s="232">
        <f t="shared" si="208"/>
        <v>0.0499999999999998</v>
      </c>
      <c r="AZ470" s="232">
        <f t="shared" si="209"/>
        <v>0</v>
      </c>
    </row>
    <row r="471" spans="1:52">
      <c r="A471" s="269"/>
      <c r="C471" s="19">
        <v>348</v>
      </c>
      <c r="D471" s="86">
        <f ca="1" t="shared" si="233"/>
        <v>229.64090064759</v>
      </c>
      <c r="E471" s="251">
        <f ca="1" t="shared" si="210"/>
        <v>0.302213548330723</v>
      </c>
      <c r="F471" s="269">
        <f ca="1" t="shared" si="226"/>
        <v>510.25020859637</v>
      </c>
      <c r="G471" s="283">
        <f ca="1" t="shared" si="227"/>
        <v>154.2045260764</v>
      </c>
      <c r="H471" s="279">
        <f ca="1" t="shared" si="228"/>
        <v>0.171738122546941</v>
      </c>
      <c r="I471" s="269">
        <f ca="1">SUM($J$125:J471)/SUM($H$125:H471)</f>
        <v>0.518765839409546</v>
      </c>
      <c r="J471" s="284">
        <f t="shared" si="234"/>
        <v>0.0680178618420229</v>
      </c>
      <c r="K471" s="19">
        <f t="shared" si="236"/>
        <v>35700</v>
      </c>
      <c r="L471" s="269">
        <f t="shared" si="229"/>
        <v>2.78499999999996</v>
      </c>
      <c r="M471" s="226">
        <f ca="1" t="shared" si="230"/>
        <v>151.008</v>
      </c>
      <c r="N471" s="280">
        <f ca="1" t="shared" si="235"/>
        <v>0.103720260704918</v>
      </c>
      <c r="O471" s="226">
        <f t="shared" si="240"/>
        <v>52.8</v>
      </c>
      <c r="P471" s="19">
        <f ca="1" t="shared" si="204"/>
        <v>19.6</v>
      </c>
      <c r="Q471" s="226">
        <f ca="1" t="shared" si="239"/>
        <v>2.86</v>
      </c>
      <c r="R471" s="269">
        <f ca="1" t="shared" si="211"/>
        <v>0.755153314684761</v>
      </c>
      <c r="S471" s="266">
        <f ca="1" t="shared" si="212"/>
        <v>70.9427910969137</v>
      </c>
      <c r="T471" s="226">
        <f ca="1">(1+OFFSET('玩法产出(新)'!$C$18,MATCH(X471,'玩法产出(新)'!$B$19:$B$25,0),1)*(1-V471)+OFFSET('玩法产出(新)'!$C$18,1+MATCH(X471,'玩法产出(新)'!$B$19:$B$25,0),1)*(V471))^AA471*(1+OFFSET('玩法产出(新)'!$C$18,MATCH(X471,'玩法产出(新)'!$B$19:$B$25,0),3)*(1-V471)+OFFSET('玩法产出(新)'!$C$18,1+MATCH(X471,'玩法产出(新)'!$B$19:$B$25,0),3)*(V471))^AB471*(1+OFFSET('玩法产出(新)'!$C$18,MATCH(X471,'玩法产出(新)'!$B$19:$B$25,0),4)*(1-V471)+OFFSET('玩法产出(新)'!$C$18,1+MATCH(X471,'玩法产出(新)'!$B$19:$B$25,0),4)*(V471))^AC471*(1+OFFSET('玩法产出(新)'!$C$18,MATCH(X471,'玩法产出(新)'!$B$19:$B$25,0),5)*(1+V471)+OFFSET('玩法产出(新)'!$C$18,1+MATCH(X471,'玩法产出(新)'!$B$19:$B$25,5),1)*(V471))^AD471*(1+OFFSET('玩法产出(新)'!$C$18,MATCH(X471,'玩法产出(新)'!$B$19:$B$25,0),6)*(1+V471)+OFFSET('玩法产出(新)'!$C$18,1+MATCH(X471,'玩法产出(新)'!$B$19:$B$25,0),6)*(V471))^AE471</f>
        <v>121.497460894838</v>
      </c>
      <c r="U471" s="226">
        <f ca="1" t="shared" si="231"/>
        <v>0.130475425783782</v>
      </c>
      <c r="V471" s="226">
        <f ca="1">COUNTIF($X$124:$X471,X471)/(COUNTIF($X$124:$X$723,X471)+1)</f>
        <v>0.478350515463918</v>
      </c>
      <c r="W471" s="19">
        <v>30</v>
      </c>
      <c r="X471" s="19" t="s">
        <v>326</v>
      </c>
      <c r="Y471" s="19">
        <f t="shared" si="237"/>
        <v>35960</v>
      </c>
      <c r="Z471" s="19">
        <f ca="1" t="shared" si="213"/>
        <v>0.412990125773196</v>
      </c>
      <c r="AA471" s="282">
        <f ca="1" t="shared" si="214"/>
        <v>2.30548125</v>
      </c>
      <c r="AB471" s="282">
        <f ca="1" t="shared" si="215"/>
        <v>18</v>
      </c>
      <c r="AC471" s="282">
        <f ca="1" t="shared" si="216"/>
        <v>7.3863</v>
      </c>
      <c r="AD471" s="282">
        <f ca="1" t="shared" si="217"/>
        <v>1.846575</v>
      </c>
      <c r="AE471" s="282">
        <f ca="1" t="shared" si="218"/>
        <v>0.46164375</v>
      </c>
      <c r="AF471" s="19" t="str">
        <f t="shared" si="219"/>
        <v>彩2</v>
      </c>
      <c r="AG471" s="19">
        <f>IFERROR(_xlfn.XLOOKUP(C471+1,[2]基因升级!$E$141:$E$500,[2]基因升级!$D$141:$D$500)-1,AG470)</f>
        <v>104</v>
      </c>
      <c r="AH471" s="19">
        <v>8</v>
      </c>
      <c r="AI471" s="19">
        <f t="shared" si="220"/>
        <v>10.5142500606751</v>
      </c>
      <c r="AJ471" s="19">
        <f t="shared" si="232"/>
        <v>0</v>
      </c>
      <c r="AK471" s="269">
        <v>2.0368</v>
      </c>
      <c r="AL471" s="287">
        <f t="shared" si="241"/>
        <v>15.5599999999998</v>
      </c>
      <c r="AM471" s="287">
        <f t="shared" si="242"/>
        <v>11.9599999999999</v>
      </c>
      <c r="AN471" s="287">
        <f t="shared" si="203"/>
        <v>8.35999999999999</v>
      </c>
      <c r="AO471" s="287">
        <f t="shared" si="238"/>
        <v>4.7</v>
      </c>
      <c r="AP471" s="86"/>
      <c r="AQ471" s="19">
        <f t="shared" si="221"/>
        <v>2.86557368797596</v>
      </c>
      <c r="AR471" s="19">
        <f t="shared" si="222"/>
        <v>2.2461046198376</v>
      </c>
      <c r="AS471" s="19">
        <f t="shared" si="223"/>
        <v>1.76055007219837</v>
      </c>
      <c r="AT471" s="19">
        <f t="shared" si="224"/>
        <v>1.37437027971722</v>
      </c>
      <c r="AU471" s="19">
        <f t="shared" si="225"/>
        <v>1</v>
      </c>
      <c r="AV471" s="232">
        <f t="shared" si="205"/>
        <v>0.0399999999999991</v>
      </c>
      <c r="AW471" s="232">
        <f t="shared" si="206"/>
        <v>0.0399999999999991</v>
      </c>
      <c r="AX471" s="232">
        <f t="shared" si="207"/>
        <v>0.0399999999999991</v>
      </c>
      <c r="AY471" s="232">
        <f t="shared" si="208"/>
        <v>0.0499999999999998</v>
      </c>
      <c r="AZ471" s="232">
        <f t="shared" si="209"/>
        <v>0</v>
      </c>
    </row>
    <row r="472" spans="1:52">
      <c r="A472" s="269"/>
      <c r="C472" s="19">
        <v>349</v>
      </c>
      <c r="D472" s="86">
        <f ca="1" t="shared" si="233"/>
        <v>229.942366267623</v>
      </c>
      <c r="E472" s="251">
        <f ca="1" t="shared" si="210"/>
        <v>0.301465620033642</v>
      </c>
      <c r="F472" s="269">
        <f ca="1" t="shared" si="226"/>
        <v>512.082862974847</v>
      </c>
      <c r="G472" s="283">
        <f ca="1" t="shared" si="227"/>
        <v>154.375377795315</v>
      </c>
      <c r="H472" s="279">
        <f ca="1" t="shared" si="228"/>
        <v>0.170851718914463</v>
      </c>
      <c r="I472" s="269">
        <f ca="1">SUM($J$125:J472)/SUM($H$125:H472)</f>
        <v>0.518621924412813</v>
      </c>
      <c r="J472" s="284">
        <f t="shared" si="234"/>
        <v>0.0678542533533601</v>
      </c>
      <c r="K472" s="19">
        <f t="shared" si="236"/>
        <v>35800</v>
      </c>
      <c r="L472" s="269">
        <f t="shared" si="229"/>
        <v>2.78999999999996</v>
      </c>
      <c r="M472" s="226">
        <f ca="1" t="shared" si="230"/>
        <v>152.064</v>
      </c>
      <c r="N472" s="280">
        <f ca="1" t="shared" si="235"/>
        <v>0.102997465561117</v>
      </c>
      <c r="O472" s="226">
        <f t="shared" si="240"/>
        <v>52.8</v>
      </c>
      <c r="P472" s="19">
        <f ca="1" t="shared" si="204"/>
        <v>19.8</v>
      </c>
      <c r="Q472" s="226">
        <f ca="1" t="shared" si="239"/>
        <v>2.88</v>
      </c>
      <c r="R472" s="269">
        <f ca="1" t="shared" si="211"/>
        <v>0.756543639464051</v>
      </c>
      <c r="S472" s="266">
        <f ca="1" t="shared" si="212"/>
        <v>71.0734049980328</v>
      </c>
      <c r="T472" s="226">
        <f ca="1">(1+OFFSET('玩法产出(新)'!$C$18,MATCH(X472,'玩法产出(新)'!$B$19:$B$25,0),1)*(1-V472)+OFFSET('玩法产出(新)'!$C$18,1+MATCH(X472,'玩法产出(新)'!$B$19:$B$25,0),1)*(V472))^AA472*(1+OFFSET('玩法产出(新)'!$C$18,MATCH(X472,'玩法产出(新)'!$B$19:$B$25,0),3)*(1-V472)+OFFSET('玩法产出(新)'!$C$18,1+MATCH(X472,'玩法产出(新)'!$B$19:$B$25,0),3)*(V472))^AB472*(1+OFFSET('玩法产出(新)'!$C$18,MATCH(X472,'玩法产出(新)'!$B$19:$B$25,0),4)*(1-V472)+OFFSET('玩法产出(新)'!$C$18,1+MATCH(X472,'玩法产出(新)'!$B$19:$B$25,0),4)*(V472))^AC472*(1+OFFSET('玩法产出(新)'!$C$18,MATCH(X472,'玩法产出(新)'!$B$19:$B$25,0),5)*(1+V472)+OFFSET('玩法产出(新)'!$C$18,1+MATCH(X472,'玩法产出(新)'!$B$19:$B$25,5),1)*(V472))^AD472*(1+OFFSET('玩法产出(新)'!$C$18,MATCH(X472,'玩法产出(新)'!$B$19:$B$25,0),6)*(1+V472)+OFFSET('玩法产出(新)'!$C$18,1+MATCH(X472,'玩法产出(新)'!$B$19:$B$25,0),6)*(V472))^AE472</f>
        <v>122.575911601226</v>
      </c>
      <c r="U472" s="226">
        <f ca="1" t="shared" si="231"/>
        <v>0.130613901119165</v>
      </c>
      <c r="V472" s="226">
        <f ca="1">COUNTIF($X$124:$X472,X472)/(COUNTIF($X$124:$X$723,X472)+1)</f>
        <v>0.480412371134021</v>
      </c>
      <c r="W472" s="19">
        <v>30</v>
      </c>
      <c r="X472" s="19" t="s">
        <v>326</v>
      </c>
      <c r="Y472" s="19">
        <f t="shared" si="237"/>
        <v>36060</v>
      </c>
      <c r="Z472" s="19">
        <f ca="1" t="shared" si="213"/>
        <v>0.408275897164948</v>
      </c>
      <c r="AA472" s="282">
        <f ca="1" t="shared" si="214"/>
        <v>2.278115625</v>
      </c>
      <c r="AB472" s="282">
        <f ca="1" t="shared" si="215"/>
        <v>18</v>
      </c>
      <c r="AC472" s="282">
        <f ca="1" t="shared" si="216"/>
        <v>7.40715</v>
      </c>
      <c r="AD472" s="282">
        <f ca="1" t="shared" si="217"/>
        <v>1.8517875</v>
      </c>
      <c r="AE472" s="282">
        <f ca="1" t="shared" si="218"/>
        <v>0.462946875</v>
      </c>
      <c r="AF472" s="19" t="str">
        <f t="shared" si="219"/>
        <v>彩2</v>
      </c>
      <c r="AG472" s="19">
        <f>IFERROR(_xlfn.XLOOKUP(C472+1,[2]基因升级!$E$141:$E$500,[2]基因升级!$D$141:$D$500)-1,AG471)</f>
        <v>104</v>
      </c>
      <c r="AH472" s="19">
        <v>8</v>
      </c>
      <c r="AI472" s="19">
        <f t="shared" si="220"/>
        <v>10.5142500606751</v>
      </c>
      <c r="AJ472" s="19">
        <f t="shared" si="232"/>
        <v>0</v>
      </c>
      <c r="AK472" s="269">
        <v>2.0368</v>
      </c>
      <c r="AL472" s="287">
        <f t="shared" si="241"/>
        <v>15.5999999999998</v>
      </c>
      <c r="AM472" s="287">
        <f t="shared" si="242"/>
        <v>11.9999999999999</v>
      </c>
      <c r="AN472" s="287">
        <f t="shared" si="203"/>
        <v>8.39999999999999</v>
      </c>
      <c r="AO472" s="287">
        <f t="shared" si="238"/>
        <v>4.75</v>
      </c>
      <c r="AP472" s="86"/>
      <c r="AQ472" s="19">
        <f t="shared" si="221"/>
        <v>2.87333942533518</v>
      </c>
      <c r="AR472" s="19">
        <f t="shared" si="222"/>
        <v>2.25219158896081</v>
      </c>
      <c r="AS472" s="19">
        <f t="shared" si="223"/>
        <v>1.76532118296262</v>
      </c>
      <c r="AT472" s="19">
        <f t="shared" si="224"/>
        <v>1.3790275546803</v>
      </c>
      <c r="AU472" s="19">
        <f t="shared" si="225"/>
        <v>1</v>
      </c>
      <c r="AV472" s="232">
        <f t="shared" si="205"/>
        <v>0.0399999999999991</v>
      </c>
      <c r="AW472" s="232">
        <f t="shared" si="206"/>
        <v>0.0399999999999991</v>
      </c>
      <c r="AX472" s="232">
        <f t="shared" si="207"/>
        <v>0.0399999999999991</v>
      </c>
      <c r="AY472" s="232">
        <f t="shared" si="208"/>
        <v>0.0499999999999998</v>
      </c>
      <c r="AZ472" s="232">
        <f t="shared" si="209"/>
        <v>0</v>
      </c>
    </row>
    <row r="473" spans="1:52">
      <c r="A473" s="269"/>
      <c r="C473" s="19">
        <v>350</v>
      </c>
      <c r="D473" s="86">
        <f ca="1" t="shared" si="233"/>
        <v>230.243094701404</v>
      </c>
      <c r="E473" s="251">
        <f ca="1" t="shared" si="210"/>
        <v>0.300728433780569</v>
      </c>
      <c r="F473" s="269">
        <f ca="1" t="shared" si="226"/>
        <v>513.903364538973</v>
      </c>
      <c r="G473" s="283">
        <f ca="1" t="shared" si="227"/>
        <v>154.54535393237</v>
      </c>
      <c r="H473" s="279">
        <f ca="1" t="shared" si="228"/>
        <v>0.169976137055016</v>
      </c>
      <c r="I473" s="269">
        <f ca="1">SUM($J$125:J473)/SUM($H$125:H473)</f>
        <v>0.5184803640768</v>
      </c>
      <c r="J473" s="284">
        <f t="shared" si="234"/>
        <v>0.0676914624320233</v>
      </c>
      <c r="K473" s="19">
        <f t="shared" si="236"/>
        <v>35900</v>
      </c>
      <c r="L473" s="269">
        <f t="shared" si="229"/>
        <v>2.79499999999996</v>
      </c>
      <c r="M473" s="226">
        <f ca="1" t="shared" si="230"/>
        <v>153.12</v>
      </c>
      <c r="N473" s="280">
        <f ca="1" t="shared" si="235"/>
        <v>0.10228467462295</v>
      </c>
      <c r="O473" s="226">
        <f t="shared" si="240"/>
        <v>52.8</v>
      </c>
      <c r="P473" s="19">
        <f ca="1" t="shared" si="204"/>
        <v>20</v>
      </c>
      <c r="Q473" s="226">
        <f ca="1" t="shared" si="239"/>
        <v>2.9</v>
      </c>
      <c r="R473" s="269">
        <f ca="1" t="shared" si="211"/>
        <v>0.757935437400787</v>
      </c>
      <c r="S473" s="266">
        <f ca="1" t="shared" si="212"/>
        <v>71.2041572947584</v>
      </c>
      <c r="T473" s="226">
        <f ca="1">(1+OFFSET('玩法产出(新)'!$C$18,MATCH(X473,'玩法产出(新)'!$B$19:$B$25,0),1)*(1-V473)+OFFSET('玩法产出(新)'!$C$18,1+MATCH(X473,'玩法产出(新)'!$B$19:$B$25,0),1)*(V473))^AA473*(1+OFFSET('玩法产出(新)'!$C$18,MATCH(X473,'玩法产出(新)'!$B$19:$B$25,0),3)*(1-V473)+OFFSET('玩法产出(新)'!$C$18,1+MATCH(X473,'玩法产出(新)'!$B$19:$B$25,0),3)*(V473))^AB473*(1+OFFSET('玩法产出(新)'!$C$18,MATCH(X473,'玩法产出(新)'!$B$19:$B$25,0),4)*(1-V473)+OFFSET('玩法产出(新)'!$C$18,1+MATCH(X473,'玩法产出(新)'!$B$19:$B$25,0),4)*(V473))^AC473*(1+OFFSET('玩法产出(新)'!$C$18,MATCH(X473,'玩法产出(新)'!$B$19:$B$25,0),5)*(1+V473)+OFFSET('玩法产出(新)'!$C$18,1+MATCH(X473,'玩法产出(新)'!$B$19:$B$25,5),1)*(V473))^AD473*(1+OFFSET('玩法产出(新)'!$C$18,MATCH(X473,'玩法产出(新)'!$B$19:$B$25,0),6)*(1+V473)+OFFSET('玩法产出(新)'!$C$18,1+MATCH(X473,'玩法产出(新)'!$B$19:$B$25,0),6)*(V473))^AE473</f>
        <v>123.665092936845</v>
      </c>
      <c r="U473" s="226">
        <f ca="1" t="shared" si="231"/>
        <v>0.130752296725595</v>
      </c>
      <c r="V473" s="226">
        <f ca="1">COUNTIF($X$124:$X473,X473)/(COUNTIF($X$124:$X$723,X473)+1)</f>
        <v>0.482474226804124</v>
      </c>
      <c r="W473" s="19">
        <v>30</v>
      </c>
      <c r="X473" s="19" t="s">
        <v>326</v>
      </c>
      <c r="Y473" s="19">
        <f t="shared" si="237"/>
        <v>36160</v>
      </c>
      <c r="Z473" s="19">
        <f ca="1" t="shared" si="213"/>
        <v>0.403557154639175</v>
      </c>
      <c r="AA473" s="282">
        <f ca="1" t="shared" si="214"/>
        <v>2.25075</v>
      </c>
      <c r="AB473" s="282">
        <f ca="1" t="shared" si="215"/>
        <v>18</v>
      </c>
      <c r="AC473" s="282">
        <f ca="1" t="shared" si="216"/>
        <v>7.428</v>
      </c>
      <c r="AD473" s="282">
        <f ca="1" t="shared" si="217"/>
        <v>1.857</v>
      </c>
      <c r="AE473" s="282">
        <f ca="1" t="shared" si="218"/>
        <v>0.46425</v>
      </c>
      <c r="AF473" s="19" t="str">
        <f t="shared" si="219"/>
        <v>彩2</v>
      </c>
      <c r="AG473" s="19">
        <f>IFERROR(_xlfn.XLOOKUP(C473+1,[2]基因升级!$E$141:$E$500,[2]基因升级!$D$141:$D$500)-1,AG472)</f>
        <v>104</v>
      </c>
      <c r="AH473" s="19">
        <v>8</v>
      </c>
      <c r="AI473" s="19">
        <f t="shared" si="220"/>
        <v>10.5142500606751</v>
      </c>
      <c r="AJ473" s="19">
        <f t="shared" si="232"/>
        <v>0</v>
      </c>
      <c r="AK473" s="269">
        <v>2.0368</v>
      </c>
      <c r="AL473" s="287">
        <f t="shared" si="241"/>
        <v>15.6399999999998</v>
      </c>
      <c r="AM473" s="287">
        <f t="shared" si="242"/>
        <v>12.0399999999999</v>
      </c>
      <c r="AN473" s="287">
        <f t="shared" si="203"/>
        <v>8.43999999999999</v>
      </c>
      <c r="AO473" s="287">
        <f t="shared" si="238"/>
        <v>4.8</v>
      </c>
      <c r="AP473" s="86"/>
      <c r="AQ473" s="19">
        <f t="shared" si="221"/>
        <v>2.88112620793116</v>
      </c>
      <c r="AR473" s="19">
        <f t="shared" si="222"/>
        <v>2.25829505383973</v>
      </c>
      <c r="AS473" s="19">
        <f t="shared" si="223"/>
        <v>1.77010522349142</v>
      </c>
      <c r="AT473" s="19">
        <f t="shared" si="224"/>
        <v>1.3837006115694</v>
      </c>
      <c r="AU473" s="19">
        <f t="shared" si="225"/>
        <v>1</v>
      </c>
      <c r="AV473" s="232">
        <f t="shared" si="205"/>
        <v>0.0399999999999991</v>
      </c>
      <c r="AW473" s="232">
        <f t="shared" si="206"/>
        <v>0.0399999999999991</v>
      </c>
      <c r="AX473" s="232">
        <f t="shared" si="207"/>
        <v>0.0399999999999991</v>
      </c>
      <c r="AY473" s="232">
        <f t="shared" si="208"/>
        <v>0.0499999999999998</v>
      </c>
      <c r="AZ473" s="232">
        <f t="shared" si="209"/>
        <v>0</v>
      </c>
    </row>
    <row r="474" spans="1:52">
      <c r="A474" s="269"/>
      <c r="C474" s="19">
        <v>351</v>
      </c>
      <c r="D474" s="86">
        <f ca="1" t="shared" si="233"/>
        <v>230.543096478486</v>
      </c>
      <c r="E474" s="251">
        <f ca="1" t="shared" si="210"/>
        <v>0.300001777082504</v>
      </c>
      <c r="F474" s="269">
        <f ca="1" t="shared" si="226"/>
        <v>515.711828780937</v>
      </c>
      <c r="G474" s="283">
        <f ca="1" t="shared" si="227"/>
        <v>154.714465096749</v>
      </c>
      <c r="H474" s="279">
        <f ca="1" t="shared" si="228"/>
        <v>0.169111164379245</v>
      </c>
      <c r="I474" s="269">
        <f ca="1">SUM($J$125:J474)/SUM($H$125:H474)</f>
        <v>0.518341115140635</v>
      </c>
      <c r="J474" s="284">
        <f t="shared" si="234"/>
        <v>0.0675294827643569</v>
      </c>
      <c r="K474" s="19">
        <f t="shared" si="236"/>
        <v>36000</v>
      </c>
      <c r="L474" s="269">
        <f t="shared" si="229"/>
        <v>2.79999999999996</v>
      </c>
      <c r="M474" s="226">
        <f ca="1" t="shared" si="230"/>
        <v>154.176</v>
      </c>
      <c r="N474" s="280">
        <f ca="1" t="shared" si="235"/>
        <v>0.101581681614917</v>
      </c>
      <c r="O474" s="226">
        <f t="shared" si="240"/>
        <v>52.8</v>
      </c>
      <c r="P474" s="19">
        <f ca="1" t="shared" si="204"/>
        <v>20.2</v>
      </c>
      <c r="Q474" s="226">
        <f ca="1" t="shared" si="239"/>
        <v>2.92</v>
      </c>
      <c r="R474" s="269">
        <f ca="1" t="shared" si="211"/>
        <v>0.759328707647357</v>
      </c>
      <c r="S474" s="266">
        <f ca="1" t="shared" si="212"/>
        <v>71.3350479074617</v>
      </c>
      <c r="T474" s="226">
        <f ca="1">(1+OFFSET('玩法产出(新)'!$C$18,MATCH(X474,'玩法产出(新)'!$B$19:$B$25,0),1)*(1-V474)+OFFSET('玩法产出(新)'!$C$18,1+MATCH(X474,'玩法产出(新)'!$B$19:$B$25,0),1)*(V474))^AA474*(1+OFFSET('玩法产出(新)'!$C$18,MATCH(X474,'玩法产出(新)'!$B$19:$B$25,0),3)*(1-V474)+OFFSET('玩法产出(新)'!$C$18,1+MATCH(X474,'玩法产出(新)'!$B$19:$B$25,0),3)*(V474))^AB474*(1+OFFSET('玩法产出(新)'!$C$18,MATCH(X474,'玩法产出(新)'!$B$19:$B$25,0),4)*(1-V474)+OFFSET('玩法产出(新)'!$C$18,1+MATCH(X474,'玩法产出(新)'!$B$19:$B$25,0),4)*(V474))^AC474*(1+OFFSET('玩法产出(新)'!$C$18,MATCH(X474,'玩法产出(新)'!$B$19:$B$25,0),5)*(1+V474)+OFFSET('玩法产出(新)'!$C$18,1+MATCH(X474,'玩法产出(新)'!$B$19:$B$25,5),1)*(V474))^AD474*(1+OFFSET('玩法产出(新)'!$C$18,MATCH(X474,'玩法产出(新)'!$B$19:$B$25,0),6)*(1+V474)+OFFSET('玩法产出(新)'!$C$18,1+MATCH(X474,'玩法产出(新)'!$B$19:$B$25,0),6)*(V474))^AE474</f>
        <v>124.765120067582</v>
      </c>
      <c r="U474" s="226">
        <f ca="1" t="shared" si="231"/>
        <v>0.13089061270323</v>
      </c>
      <c r="V474" s="226">
        <f ca="1">COUNTIF($X$124:$X474,X474)/(COUNTIF($X$124:$X$723,X474)+1)</f>
        <v>0.484536082474227</v>
      </c>
      <c r="W474" s="19">
        <v>30</v>
      </c>
      <c r="X474" s="19" t="s">
        <v>326</v>
      </c>
      <c r="Y474" s="19">
        <f t="shared" si="237"/>
        <v>36260</v>
      </c>
      <c r="Z474" s="19">
        <f ca="1" t="shared" si="213"/>
        <v>0.398833898195877</v>
      </c>
      <c r="AA474" s="282">
        <f ca="1" t="shared" si="214"/>
        <v>2.223384375</v>
      </c>
      <c r="AB474" s="282">
        <f ca="1" t="shared" si="215"/>
        <v>18</v>
      </c>
      <c r="AC474" s="282">
        <f ca="1" t="shared" si="216"/>
        <v>7.44885</v>
      </c>
      <c r="AD474" s="282">
        <f ca="1" t="shared" si="217"/>
        <v>1.8622125</v>
      </c>
      <c r="AE474" s="282">
        <f ca="1" t="shared" si="218"/>
        <v>0.465553125</v>
      </c>
      <c r="AF474" s="19" t="str">
        <f t="shared" si="219"/>
        <v>彩2</v>
      </c>
      <c r="AG474" s="19">
        <f>IFERROR(_xlfn.XLOOKUP(C474+1,[2]基因升级!$E$141:$E$500,[2]基因升级!$D$141:$D$500)-1,AG473)</f>
        <v>105</v>
      </c>
      <c r="AH474" s="19">
        <v>8</v>
      </c>
      <c r="AI474" s="19">
        <f t="shared" si="220"/>
        <v>10.5142500606751</v>
      </c>
      <c r="AJ474" s="19">
        <f t="shared" si="232"/>
        <v>0</v>
      </c>
      <c r="AK474" s="269">
        <v>2.0368</v>
      </c>
      <c r="AL474" s="287">
        <f t="shared" si="241"/>
        <v>15.6799999999998</v>
      </c>
      <c r="AM474" s="287">
        <f t="shared" si="242"/>
        <v>12.0799999999999</v>
      </c>
      <c r="AN474" s="287">
        <f t="shared" si="203"/>
        <v>8.47999999999999</v>
      </c>
      <c r="AO474" s="287">
        <f t="shared" si="238"/>
        <v>4.85</v>
      </c>
      <c r="AP474" s="86"/>
      <c r="AQ474" s="19">
        <f t="shared" si="221"/>
        <v>2.88893409279674</v>
      </c>
      <c r="AR474" s="19">
        <f t="shared" si="222"/>
        <v>2.26441505917804</v>
      </c>
      <c r="AS474" s="19">
        <f t="shared" si="223"/>
        <v>1.77490222882459</v>
      </c>
      <c r="AT474" s="19">
        <f t="shared" si="224"/>
        <v>1.38838950386411</v>
      </c>
      <c r="AU474" s="19">
        <f t="shared" si="225"/>
        <v>1</v>
      </c>
      <c r="AV474" s="232">
        <f t="shared" si="205"/>
        <v>0.0399999999999991</v>
      </c>
      <c r="AW474" s="232">
        <f t="shared" si="206"/>
        <v>0.0399999999999991</v>
      </c>
      <c r="AX474" s="232">
        <f t="shared" si="207"/>
        <v>0.0399999999999991</v>
      </c>
      <c r="AY474" s="232">
        <f t="shared" si="208"/>
        <v>0.0499999999999998</v>
      </c>
      <c r="AZ474" s="232">
        <f t="shared" si="209"/>
        <v>0</v>
      </c>
    </row>
    <row r="475" spans="1:52">
      <c r="A475" s="269"/>
      <c r="C475" s="19">
        <v>352</v>
      </c>
      <c r="D475" s="86">
        <f ca="1" t="shared" si="233"/>
        <v>230.842381921635</v>
      </c>
      <c r="E475" s="251">
        <f ca="1" t="shared" si="210"/>
        <v>0.299285443149035</v>
      </c>
      <c r="F475" s="269">
        <f ca="1" t="shared" si="226"/>
        <v>517.508369471947</v>
      </c>
      <c r="G475" s="283">
        <f ca="1" t="shared" si="227"/>
        <v>154.882721690746</v>
      </c>
      <c r="H475" s="279">
        <f ca="1" t="shared" si="228"/>
        <v>0.168256593996745</v>
      </c>
      <c r="I475" s="269">
        <f ca="1">SUM($J$125:J475)/SUM($H$125:H475)</f>
        <v>0.518204135366737</v>
      </c>
      <c r="J475" s="284">
        <f t="shared" si="234"/>
        <v>0.0673683081031555</v>
      </c>
      <c r="K475" s="19">
        <f t="shared" si="236"/>
        <v>36100</v>
      </c>
      <c r="L475" s="269">
        <f t="shared" si="229"/>
        <v>2.80499999999996</v>
      </c>
      <c r="M475" s="226">
        <f ca="1" t="shared" si="230"/>
        <v>155.232</v>
      </c>
      <c r="N475" s="280">
        <f ca="1" t="shared" si="235"/>
        <v>0.100888285893575</v>
      </c>
      <c r="O475" s="226">
        <f t="shared" si="240"/>
        <v>52.8</v>
      </c>
      <c r="P475" s="19">
        <f ca="1" t="shared" si="204"/>
        <v>20.4</v>
      </c>
      <c r="Q475" s="226">
        <f ca="1" t="shared" si="239"/>
        <v>2.94</v>
      </c>
      <c r="R475" s="269">
        <f ca="1" t="shared" si="211"/>
        <v>0.760723449357216</v>
      </c>
      <c r="S475" s="266">
        <f ca="1" t="shared" si="212"/>
        <v>71.466076756614</v>
      </c>
      <c r="T475" s="226">
        <f ca="1">(1+OFFSET('玩法产出(新)'!$C$18,MATCH(X475,'玩法产出(新)'!$B$19:$B$25,0),1)*(1-V475)+OFFSET('玩法产出(新)'!$C$18,1+MATCH(X475,'玩法产出(新)'!$B$19:$B$25,0),1)*(V475))^AA475*(1+OFFSET('玩法产出(新)'!$C$18,MATCH(X475,'玩法产出(新)'!$B$19:$B$25,0),3)*(1-V475)+OFFSET('玩法产出(新)'!$C$18,1+MATCH(X475,'玩法产出(新)'!$B$19:$B$25,0),3)*(V475))^AB475*(1+OFFSET('玩法产出(新)'!$C$18,MATCH(X475,'玩法产出(新)'!$B$19:$B$25,0),4)*(1-V475)+OFFSET('玩法产出(新)'!$C$18,1+MATCH(X475,'玩法产出(新)'!$B$19:$B$25,0),4)*(V475))^AC475*(1+OFFSET('玩法产出(新)'!$C$18,MATCH(X475,'玩法产出(新)'!$B$19:$B$25,0),5)*(1+V475)+OFFSET('玩法产出(新)'!$C$18,1+MATCH(X475,'玩法产出(新)'!$B$19:$B$25,5),1)*(V475))^AD475*(1+OFFSET('玩法产出(新)'!$C$18,MATCH(X475,'玩法产出(新)'!$B$19:$B$25,0),6)*(1+V475)+OFFSET('玩法产出(新)'!$C$18,1+MATCH(X475,'玩法产出(新)'!$B$19:$B$25,0),6)*(V475))^AE475</f>
        <v>125.876109472135</v>
      </c>
      <c r="U475" s="226">
        <f ca="1" t="shared" si="231"/>
        <v>0.131028849152304</v>
      </c>
      <c r="V475" s="226">
        <f ca="1">COUNTIF($X$124:$X475,X475)/(COUNTIF($X$124:$X$723,X475)+1)</f>
        <v>0.48659793814433</v>
      </c>
      <c r="W475" s="19">
        <v>30</v>
      </c>
      <c r="X475" s="19" t="s">
        <v>326</v>
      </c>
      <c r="Y475" s="19">
        <f t="shared" si="237"/>
        <v>36360</v>
      </c>
      <c r="Z475" s="19">
        <f ca="1" t="shared" si="213"/>
        <v>0.394106127835052</v>
      </c>
      <c r="AA475" s="282">
        <f ca="1" t="shared" si="214"/>
        <v>2.19601875</v>
      </c>
      <c r="AB475" s="282">
        <f ca="1" t="shared" si="215"/>
        <v>18</v>
      </c>
      <c r="AC475" s="282">
        <f ca="1" t="shared" si="216"/>
        <v>7.4697</v>
      </c>
      <c r="AD475" s="282">
        <f ca="1" t="shared" si="217"/>
        <v>1.867425</v>
      </c>
      <c r="AE475" s="282">
        <f ca="1" t="shared" si="218"/>
        <v>0.46685625</v>
      </c>
      <c r="AF475" s="19" t="str">
        <f t="shared" si="219"/>
        <v>彩2</v>
      </c>
      <c r="AG475" s="19">
        <f>IFERROR(_xlfn.XLOOKUP(C475+1,[2]基因升级!$E$141:$E$500,[2]基因升级!$D$141:$D$500)-1,AG474)</f>
        <v>105</v>
      </c>
      <c r="AH475" s="19">
        <v>8</v>
      </c>
      <c r="AI475" s="19">
        <f t="shared" si="220"/>
        <v>10.5142500606751</v>
      </c>
      <c r="AJ475" s="19">
        <f t="shared" si="232"/>
        <v>0</v>
      </c>
      <c r="AK475" s="269">
        <v>2.0368</v>
      </c>
      <c r="AL475" s="287">
        <f t="shared" si="241"/>
        <v>15.7199999999998</v>
      </c>
      <c r="AM475" s="287">
        <f t="shared" si="242"/>
        <v>12.1199999999999</v>
      </c>
      <c r="AN475" s="287">
        <f t="shared" si="203"/>
        <v>8.51999999999999</v>
      </c>
      <c r="AO475" s="287">
        <f t="shared" si="238"/>
        <v>4.9</v>
      </c>
      <c r="AP475" s="86"/>
      <c r="AQ475" s="19">
        <f t="shared" si="221"/>
        <v>2.89676313711931</v>
      </c>
      <c r="AR475" s="19">
        <f t="shared" si="222"/>
        <v>2.27055164980058</v>
      </c>
      <c r="AS475" s="19">
        <f t="shared" si="223"/>
        <v>1.7797122340969</v>
      </c>
      <c r="AT475" s="19">
        <f t="shared" si="224"/>
        <v>1.39309428522527</v>
      </c>
      <c r="AU475" s="19">
        <f t="shared" si="225"/>
        <v>1</v>
      </c>
      <c r="AV475" s="232">
        <f t="shared" si="205"/>
        <v>0.0399999999999991</v>
      </c>
      <c r="AW475" s="232">
        <f t="shared" si="206"/>
        <v>0.0399999999999991</v>
      </c>
      <c r="AX475" s="232">
        <f t="shared" si="207"/>
        <v>0.0399999999999991</v>
      </c>
      <c r="AY475" s="232">
        <f t="shared" si="208"/>
        <v>0.0499999999999998</v>
      </c>
      <c r="AZ475" s="232">
        <f t="shared" si="209"/>
        <v>0</v>
      </c>
    </row>
    <row r="476" spans="1:52">
      <c r="A476" s="269"/>
      <c r="C476" s="19">
        <v>353</v>
      </c>
      <c r="D476" s="86">
        <f ca="1" t="shared" si="233"/>
        <v>231.140961152332</v>
      </c>
      <c r="E476" s="251">
        <f ca="1" t="shared" si="210"/>
        <v>0.298579230696349</v>
      </c>
      <c r="F476" s="269">
        <f ca="1" t="shared" si="226"/>
        <v>519.293098698327</v>
      </c>
      <c r="G476" s="283">
        <f ca="1" t="shared" si="227"/>
        <v>155.05013391527</v>
      </c>
      <c r="H476" s="279">
        <f ca="1" t="shared" si="228"/>
        <v>0.167412224523616</v>
      </c>
      <c r="I476" s="269">
        <f ca="1">SUM($J$125:J476)/SUM($H$125:H476)</f>
        <v>0.518069383510501</v>
      </c>
      <c r="J476" s="284">
        <f t="shared" si="234"/>
        <v>0.0672079322666974</v>
      </c>
      <c r="K476" s="19">
        <f t="shared" si="236"/>
        <v>36200</v>
      </c>
      <c r="L476" s="269">
        <f t="shared" si="229"/>
        <v>2.80999999999996</v>
      </c>
      <c r="M476" s="226">
        <f ca="1" t="shared" si="230"/>
        <v>156.288</v>
      </c>
      <c r="N476" s="280">
        <f ca="1" t="shared" si="235"/>
        <v>0.100204292256933</v>
      </c>
      <c r="O476" s="226">
        <f t="shared" si="240"/>
        <v>52.8</v>
      </c>
      <c r="P476" s="19">
        <f ca="1" t="shared" si="204"/>
        <v>20.6</v>
      </c>
      <c r="Q476" s="226">
        <f ca="1" t="shared" si="239"/>
        <v>2.96</v>
      </c>
      <c r="R476" s="269">
        <f ca="1" t="shared" si="211"/>
        <v>0.762119661684883</v>
      </c>
      <c r="S476" s="266">
        <f ca="1" t="shared" si="212"/>
        <v>71.5972437627867</v>
      </c>
      <c r="T476" s="226">
        <f ca="1">(1+OFFSET('玩法产出(新)'!$C$18,MATCH(X476,'玩法产出(新)'!$B$19:$B$25,0),1)*(1-V476)+OFFSET('玩法产出(新)'!$C$18,1+MATCH(X476,'玩法产出(新)'!$B$19:$B$25,0),1)*(V476))^AA476*(1+OFFSET('玩法产出(新)'!$C$18,MATCH(X476,'玩法产出(新)'!$B$19:$B$25,0),3)*(1-V476)+OFFSET('玩法产出(新)'!$C$18,1+MATCH(X476,'玩法产出(新)'!$B$19:$B$25,0),3)*(V476))^AB476*(1+OFFSET('玩法产出(新)'!$C$18,MATCH(X476,'玩法产出(新)'!$B$19:$B$25,0),4)*(1-V476)+OFFSET('玩法产出(新)'!$C$18,1+MATCH(X476,'玩法产出(新)'!$B$19:$B$25,0),4)*(V476))^AC476*(1+OFFSET('玩法产出(新)'!$C$18,MATCH(X476,'玩法产出(新)'!$B$19:$B$25,0),5)*(1+V476)+OFFSET('玩法产出(新)'!$C$18,1+MATCH(X476,'玩法产出(新)'!$B$19:$B$25,5),1)*(V476))^AD476*(1+OFFSET('玩法产出(新)'!$C$18,MATCH(X476,'玩法产出(新)'!$B$19:$B$25,0),6)*(1+V476)+OFFSET('玩法产出(新)'!$C$18,1+MATCH(X476,'玩法产出(新)'!$B$19:$B$25,0),6)*(V476))^AE476</f>
        <v>126.998178957748</v>
      </c>
      <c r="U476" s="226">
        <f ca="1" t="shared" si="231"/>
        <v>0.131167006172718</v>
      </c>
      <c r="V476" s="226">
        <f ca="1">COUNTIF($X$124:$X476,X476)/(COUNTIF($X$124:$X$723,X476)+1)</f>
        <v>0.488659793814433</v>
      </c>
      <c r="W476" s="19">
        <v>30</v>
      </c>
      <c r="X476" s="19" t="s">
        <v>326</v>
      </c>
      <c r="Y476" s="19">
        <f t="shared" si="237"/>
        <v>36460</v>
      </c>
      <c r="Z476" s="19">
        <f ca="1" t="shared" si="213"/>
        <v>0.389373843556701</v>
      </c>
      <c r="AA476" s="282">
        <f ca="1" t="shared" si="214"/>
        <v>2.168653125</v>
      </c>
      <c r="AB476" s="282">
        <f ca="1" t="shared" si="215"/>
        <v>18</v>
      </c>
      <c r="AC476" s="282">
        <f ca="1" t="shared" si="216"/>
        <v>7.49055</v>
      </c>
      <c r="AD476" s="282">
        <f ca="1" t="shared" si="217"/>
        <v>1.8726375</v>
      </c>
      <c r="AE476" s="282">
        <f ca="1" t="shared" si="218"/>
        <v>0.468159375</v>
      </c>
      <c r="AF476" s="19" t="str">
        <f t="shared" si="219"/>
        <v>彩2</v>
      </c>
      <c r="AG476" s="19">
        <f>IFERROR(_xlfn.XLOOKUP(C476+1,[2]基因升级!$E$141:$E$500,[2]基因升级!$D$141:$D$500)-1,AG475)</f>
        <v>105</v>
      </c>
      <c r="AH476" s="19">
        <v>8</v>
      </c>
      <c r="AI476" s="19">
        <f t="shared" si="220"/>
        <v>10.5142500606751</v>
      </c>
      <c r="AJ476" s="19">
        <f t="shared" si="232"/>
        <v>0</v>
      </c>
      <c r="AK476" s="269">
        <v>2.0368</v>
      </c>
      <c r="AL476" s="287">
        <f t="shared" si="241"/>
        <v>15.7599999999998</v>
      </c>
      <c r="AM476" s="287">
        <f t="shared" si="242"/>
        <v>12.1599999999999</v>
      </c>
      <c r="AN476" s="287">
        <f t="shared" si="203"/>
        <v>8.55999999999999</v>
      </c>
      <c r="AO476" s="287">
        <f t="shared" si="238"/>
        <v>4.95</v>
      </c>
      <c r="AP476" s="86"/>
      <c r="AQ476" s="19">
        <f t="shared" si="221"/>
        <v>2.90461339824124</v>
      </c>
      <c r="AR476" s="19">
        <f t="shared" si="222"/>
        <v>2.27670487065366</v>
      </c>
      <c r="AS476" s="19">
        <f t="shared" si="223"/>
        <v>1.78453527453832</v>
      </c>
      <c r="AT476" s="19">
        <f t="shared" si="224"/>
        <v>1.39781500949553</v>
      </c>
      <c r="AU476" s="19">
        <f t="shared" si="225"/>
        <v>1</v>
      </c>
      <c r="AV476" s="232">
        <f t="shared" si="205"/>
        <v>0.0399999999999991</v>
      </c>
      <c r="AW476" s="232">
        <f t="shared" si="206"/>
        <v>0.0399999999999991</v>
      </c>
      <c r="AX476" s="232">
        <f t="shared" si="207"/>
        <v>0.0399999999999991</v>
      </c>
      <c r="AY476" s="232">
        <f t="shared" si="208"/>
        <v>0.0499999999999998</v>
      </c>
      <c r="AZ476" s="232">
        <f t="shared" si="209"/>
        <v>0</v>
      </c>
    </row>
    <row r="477" spans="1:52">
      <c r="A477" s="269"/>
      <c r="C477" s="19">
        <v>354</v>
      </c>
      <c r="D477" s="86">
        <f ca="1" t="shared" si="233"/>
        <v>231.438844096095</v>
      </c>
      <c r="E477" s="251">
        <f ca="1" t="shared" si="210"/>
        <v>0.297882943763115</v>
      </c>
      <c r="F477" s="269">
        <f ca="1" t="shared" si="226"/>
        <v>521.066126896481</v>
      </c>
      <c r="G477" s="283">
        <f ca="1" t="shared" si="227"/>
        <v>155.216711775169</v>
      </c>
      <c r="H477" s="279">
        <f ca="1" t="shared" si="228"/>
        <v>0.16657785989895</v>
      </c>
      <c r="I477" s="269">
        <f ca="1">SUM($J$125:J477)/SUM($H$125:H477)</f>
        <v>0.51793681929106</v>
      </c>
      <c r="J477" s="284">
        <f t="shared" si="234"/>
        <v>0.0670483491380196</v>
      </c>
      <c r="K477" s="19">
        <f t="shared" si="236"/>
        <v>36300</v>
      </c>
      <c r="L477" s="269">
        <f t="shared" si="229"/>
        <v>2.81499999999996</v>
      </c>
      <c r="M477" s="226">
        <f ca="1" t="shared" si="230"/>
        <v>157.344</v>
      </c>
      <c r="N477" s="280">
        <f ca="1" t="shared" si="235"/>
        <v>0.0995295107609167</v>
      </c>
      <c r="O477" s="226">
        <f t="shared" si="240"/>
        <v>52.8</v>
      </c>
      <c r="P477" s="19">
        <f ca="1" t="shared" si="204"/>
        <v>20.8</v>
      </c>
      <c r="Q477" s="226">
        <f ca="1" t="shared" si="239"/>
        <v>2.98</v>
      </c>
      <c r="R477" s="269">
        <f ca="1" t="shared" si="211"/>
        <v>0.763517343785937</v>
      </c>
      <c r="S477" s="266">
        <f ca="1" t="shared" si="212"/>
        <v>71.7285488466509</v>
      </c>
      <c r="T477" s="226">
        <f ca="1">(1+OFFSET('玩法产出(新)'!$C$18,MATCH(X477,'玩法产出(新)'!$B$19:$B$25,0),1)*(1-V477)+OFFSET('玩法产出(新)'!$C$18,1+MATCH(X477,'玩法产出(新)'!$B$19:$B$25,0),1)*(V477))^AA477*(1+OFFSET('玩法产出(新)'!$C$18,MATCH(X477,'玩法产出(新)'!$B$19:$B$25,0),3)*(1-V477)+OFFSET('玩法产出(新)'!$C$18,1+MATCH(X477,'玩法产出(新)'!$B$19:$B$25,0),3)*(V477))^AB477*(1+OFFSET('玩法产出(新)'!$C$18,MATCH(X477,'玩法产出(新)'!$B$19:$B$25,0),4)*(1-V477)+OFFSET('玩法产出(新)'!$C$18,1+MATCH(X477,'玩法产出(新)'!$B$19:$B$25,0),4)*(V477))^AC477*(1+OFFSET('玩法产出(新)'!$C$18,MATCH(X477,'玩法产出(新)'!$B$19:$B$25,0),5)*(1+V477)+OFFSET('玩法产出(新)'!$C$18,1+MATCH(X477,'玩法产出(新)'!$B$19:$B$25,5),1)*(V477))^AD477*(1+OFFSET('玩法产出(新)'!$C$18,MATCH(X477,'玩法产出(新)'!$B$19:$B$25,0),6)*(1+V477)+OFFSET('玩法产出(新)'!$C$18,1+MATCH(X477,'玩法产出(新)'!$B$19:$B$25,0),6)*(V477))^AE477</f>
        <v>128.131447676133</v>
      </c>
      <c r="U477" s="226">
        <f ca="1" t="shared" si="231"/>
        <v>0.131305083864178</v>
      </c>
      <c r="V477" s="226">
        <f ca="1">COUNTIF($X$124:$X477,X477)/(COUNTIF($X$124:$X$723,X477)+1)</f>
        <v>0.490721649484536</v>
      </c>
      <c r="W477" s="19">
        <v>30</v>
      </c>
      <c r="X477" s="19" t="s">
        <v>326</v>
      </c>
      <c r="Y477" s="19">
        <f t="shared" si="237"/>
        <v>36560</v>
      </c>
      <c r="Z477" s="19">
        <f ca="1" t="shared" si="213"/>
        <v>0.384637045360825</v>
      </c>
      <c r="AA477" s="282">
        <f ca="1" t="shared" si="214"/>
        <v>2.1412875</v>
      </c>
      <c r="AB477" s="282">
        <f ca="1" t="shared" si="215"/>
        <v>18</v>
      </c>
      <c r="AC477" s="282">
        <f ca="1" t="shared" si="216"/>
        <v>7.5114</v>
      </c>
      <c r="AD477" s="282">
        <f ca="1" t="shared" si="217"/>
        <v>1.87785</v>
      </c>
      <c r="AE477" s="282">
        <f ca="1" t="shared" si="218"/>
        <v>0.4694625</v>
      </c>
      <c r="AF477" s="19" t="str">
        <f t="shared" si="219"/>
        <v>彩2</v>
      </c>
      <c r="AG477" s="19">
        <f>IFERROR(_xlfn.XLOOKUP(C477+1,[2]基因升级!$E$141:$E$500,[2]基因升级!$D$141:$D$500)-1,AG476)</f>
        <v>105</v>
      </c>
      <c r="AH477" s="19">
        <v>8</v>
      </c>
      <c r="AI477" s="19">
        <f t="shared" si="220"/>
        <v>10.5142500606751</v>
      </c>
      <c r="AJ477" s="19">
        <f t="shared" si="232"/>
        <v>0</v>
      </c>
      <c r="AK477" s="269">
        <v>2.0368</v>
      </c>
      <c r="AL477" s="287">
        <f t="shared" si="241"/>
        <v>15.7999999999998</v>
      </c>
      <c r="AM477" s="287">
        <f t="shared" si="242"/>
        <v>12.1999999999999</v>
      </c>
      <c r="AN477" s="287">
        <f t="shared" si="203"/>
        <v>8.59999999999999</v>
      </c>
      <c r="AO477" s="287">
        <f t="shared" si="238"/>
        <v>5</v>
      </c>
      <c r="AP477" s="86"/>
      <c r="AQ477" s="19">
        <f t="shared" si="221"/>
        <v>2.91248493366029</v>
      </c>
      <c r="AR477" s="19">
        <f t="shared" si="222"/>
        <v>2.2828747668054</v>
      </c>
      <c r="AS477" s="19">
        <f t="shared" si="223"/>
        <v>1.78937138547432</v>
      </c>
      <c r="AT477" s="19">
        <f t="shared" si="224"/>
        <v>1.4025517307</v>
      </c>
      <c r="AU477" s="19">
        <f t="shared" si="225"/>
        <v>1</v>
      </c>
      <c r="AV477" s="232">
        <f t="shared" si="205"/>
        <v>0.0399999999999991</v>
      </c>
      <c r="AW477" s="232">
        <f t="shared" si="206"/>
        <v>0.0399999999999991</v>
      </c>
      <c r="AX477" s="232">
        <f t="shared" si="207"/>
        <v>0.0399999999999991</v>
      </c>
      <c r="AY477" s="232">
        <f t="shared" si="208"/>
        <v>0.0499999999999998</v>
      </c>
      <c r="AZ477" s="232">
        <f t="shared" si="209"/>
        <v>0</v>
      </c>
    </row>
    <row r="478" spans="1:52">
      <c r="A478" s="269"/>
      <c r="C478" s="19">
        <v>355</v>
      </c>
      <c r="D478" s="86">
        <f ca="1" t="shared" si="233"/>
        <v>231.736040487629</v>
      </c>
      <c r="E478" s="251">
        <f ca="1" t="shared" si="210"/>
        <v>0.297196391533988</v>
      </c>
      <c r="F478" s="269">
        <f ca="1" t="shared" si="226"/>
        <v>522.827562886497</v>
      </c>
      <c r="G478" s="283">
        <f ca="1" t="shared" si="227"/>
        <v>155.382465084376</v>
      </c>
      <c r="H478" s="279">
        <f ca="1" t="shared" si="228"/>
        <v>0.165753309207702</v>
      </c>
      <c r="I478" s="269">
        <f ca="1">SUM($J$125:J478)/SUM($H$125:H478)</f>
        <v>0.517806403363093</v>
      </c>
      <c r="J478" s="284">
        <f t="shared" si="234"/>
        <v>0.0668895526639091</v>
      </c>
      <c r="K478" s="19">
        <f t="shared" si="236"/>
        <v>36400</v>
      </c>
      <c r="L478" s="269">
        <f t="shared" si="229"/>
        <v>2.81999999999996</v>
      </c>
      <c r="M478" s="226">
        <f ca="1" t="shared" si="230"/>
        <v>158.4</v>
      </c>
      <c r="N478" s="280">
        <f ca="1" t="shared" si="235"/>
        <v>0.0988637565437926</v>
      </c>
      <c r="O478" s="226">
        <f t="shared" si="240"/>
        <v>52.8</v>
      </c>
      <c r="P478" s="19">
        <f ca="1" t="shared" si="204"/>
        <v>21</v>
      </c>
      <c r="Q478" s="226">
        <f ca="1" t="shared" si="239"/>
        <v>3</v>
      </c>
      <c r="R478" s="269">
        <f ca="1" t="shared" si="211"/>
        <v>0.764916494817019</v>
      </c>
      <c r="S478" s="266">
        <f ca="1" t="shared" si="212"/>
        <v>71.8599919289772</v>
      </c>
      <c r="T478" s="226">
        <f ca="1">(1+OFFSET('玩法产出(新)'!$C$18,MATCH(X478,'玩法产出(新)'!$B$19:$B$25,0),1)*(1-V478)+OFFSET('玩法产出(新)'!$C$18,1+MATCH(X478,'玩法产出(新)'!$B$19:$B$25,0),1)*(V478))^AA478*(1+OFFSET('玩法产出(新)'!$C$18,MATCH(X478,'玩法产出(新)'!$B$19:$B$25,0),3)*(1-V478)+OFFSET('玩法产出(新)'!$C$18,1+MATCH(X478,'玩法产出(新)'!$B$19:$B$25,0),3)*(V478))^AB478*(1+OFFSET('玩法产出(新)'!$C$18,MATCH(X478,'玩法产出(新)'!$B$19:$B$25,0),4)*(1-V478)+OFFSET('玩法产出(新)'!$C$18,1+MATCH(X478,'玩法产出(新)'!$B$19:$B$25,0),4)*(V478))^AC478*(1+OFFSET('玩法产出(新)'!$C$18,MATCH(X478,'玩法产出(新)'!$B$19:$B$25,0),5)*(1+V478)+OFFSET('玩法产出(新)'!$C$18,1+MATCH(X478,'玩法产出(新)'!$B$19:$B$25,5),1)*(V478))^AD478*(1+OFFSET('玩法产出(新)'!$C$18,MATCH(X478,'玩法产出(新)'!$B$19:$B$25,0),6)*(1+V478)+OFFSET('玩法产出(新)'!$C$18,1+MATCH(X478,'玩法产出(新)'!$B$19:$B$25,0),6)*(V478))^AE478</f>
        <v>129.2760361396</v>
      </c>
      <c r="U478" s="226">
        <f ca="1" t="shared" si="231"/>
        <v>0.131443082326286</v>
      </c>
      <c r="V478" s="226">
        <f ca="1">COUNTIF($X$124:$X478,X478)/(COUNTIF($X$124:$X$723,X478)+1)</f>
        <v>0.492783505154639</v>
      </c>
      <c r="W478" s="19">
        <v>30</v>
      </c>
      <c r="X478" s="19" t="s">
        <v>326</v>
      </c>
      <c r="Y478" s="19">
        <f t="shared" si="237"/>
        <v>36660</v>
      </c>
      <c r="Z478" s="19">
        <f ca="1" t="shared" si="213"/>
        <v>0.379895733247422</v>
      </c>
      <c r="AA478" s="282">
        <f ca="1" t="shared" si="214"/>
        <v>2.113921875</v>
      </c>
      <c r="AB478" s="282">
        <f ca="1" t="shared" si="215"/>
        <v>18</v>
      </c>
      <c r="AC478" s="282">
        <f ca="1" t="shared" si="216"/>
        <v>7.53225</v>
      </c>
      <c r="AD478" s="282">
        <f ca="1" t="shared" si="217"/>
        <v>1.8830625</v>
      </c>
      <c r="AE478" s="282">
        <f ca="1" t="shared" si="218"/>
        <v>0.470765625</v>
      </c>
      <c r="AF478" s="19" t="str">
        <f t="shared" si="219"/>
        <v>彩2</v>
      </c>
      <c r="AG478" s="19">
        <f>IFERROR(_xlfn.XLOOKUP(C478+1,[2]基因升级!$E$141:$E$500,[2]基因升级!$D$141:$D$500)-1,AG477)</f>
        <v>105</v>
      </c>
      <c r="AH478" s="19">
        <v>8</v>
      </c>
      <c r="AI478" s="19">
        <f t="shared" si="220"/>
        <v>10.5142500606751</v>
      </c>
      <c r="AJ478" s="19">
        <f t="shared" si="232"/>
        <v>0</v>
      </c>
      <c r="AK478" s="269">
        <v>2.0368</v>
      </c>
      <c r="AL478" s="287">
        <f t="shared" si="241"/>
        <v>15.8399999999998</v>
      </c>
      <c r="AM478" s="287">
        <f t="shared" si="242"/>
        <v>12.2399999999999</v>
      </c>
      <c r="AN478" s="287">
        <f t="shared" si="203"/>
        <v>8.63999999999999</v>
      </c>
      <c r="AO478" s="287">
        <f t="shared" si="238"/>
        <v>5.04</v>
      </c>
      <c r="AP478" s="86"/>
      <c r="AQ478" s="19">
        <f t="shared" si="221"/>
        <v>2.92037780103006</v>
      </c>
      <c r="AR478" s="19">
        <f t="shared" si="222"/>
        <v>2.28906138344603</v>
      </c>
      <c r="AS478" s="19">
        <f t="shared" si="223"/>
        <v>1.79422060232608</v>
      </c>
      <c r="AT478" s="19">
        <f t="shared" si="224"/>
        <v>1.40635266187795</v>
      </c>
      <c r="AU478" s="19">
        <f t="shared" si="225"/>
        <v>1</v>
      </c>
      <c r="AV478" s="232">
        <f t="shared" si="205"/>
        <v>0.0399999999999991</v>
      </c>
      <c r="AW478" s="232">
        <f t="shared" si="206"/>
        <v>0.0399999999999991</v>
      </c>
      <c r="AX478" s="232">
        <f t="shared" si="207"/>
        <v>0.0399999999999991</v>
      </c>
      <c r="AY478" s="232">
        <f t="shared" si="208"/>
        <v>0.04</v>
      </c>
      <c r="AZ478" s="232">
        <f t="shared" si="209"/>
        <v>0</v>
      </c>
    </row>
    <row r="479" spans="1:52">
      <c r="A479" s="269"/>
      <c r="C479" s="19">
        <v>356</v>
      </c>
      <c r="D479" s="86">
        <f ca="1" t="shared" si="233"/>
        <v>232.032559875798</v>
      </c>
      <c r="E479" s="251">
        <f ca="1" t="shared" si="210"/>
        <v>0.296519388169455</v>
      </c>
      <c r="F479" s="269">
        <f ca="1" t="shared" si="226"/>
        <v>524.57751390609</v>
      </c>
      <c r="G479" s="283">
        <f ca="1" t="shared" si="227"/>
        <v>155.547403470887</v>
      </c>
      <c r="H479" s="279">
        <f ca="1" t="shared" si="228"/>
        <v>0.16493838651121</v>
      </c>
      <c r="I479" s="269">
        <f ca="1">SUM($J$125:J479)/SUM($H$125:H479)</f>
        <v>0.517678097289632</v>
      </c>
      <c r="J479" s="284">
        <f t="shared" si="234"/>
        <v>0.0667315368541637</v>
      </c>
      <c r="K479" s="19">
        <f t="shared" si="236"/>
        <v>36500</v>
      </c>
      <c r="L479" s="269">
        <f t="shared" si="229"/>
        <v>2.82499999999996</v>
      </c>
      <c r="M479" s="226">
        <f ca="1" t="shared" si="230"/>
        <v>159.456</v>
      </c>
      <c r="N479" s="280">
        <f ca="1" t="shared" si="235"/>
        <v>0.0982068496570605</v>
      </c>
      <c r="O479" s="226">
        <f t="shared" si="240"/>
        <v>52.8</v>
      </c>
      <c r="P479" s="19">
        <f ca="1" t="shared" si="204"/>
        <v>21.2</v>
      </c>
      <c r="Q479" s="226">
        <f ca="1" t="shared" si="239"/>
        <v>3.02</v>
      </c>
      <c r="R479" s="269">
        <f ca="1" t="shared" si="211"/>
        <v>0.766317113935825</v>
      </c>
      <c r="S479" s="266">
        <f ca="1" t="shared" si="212"/>
        <v>71.9915729306354</v>
      </c>
      <c r="T479" s="226">
        <f ca="1">(1+OFFSET('玩法产出(新)'!$C$18,MATCH(X479,'玩法产出(新)'!$B$19:$B$25,0),1)*(1-V479)+OFFSET('玩法产出(新)'!$C$18,1+MATCH(X479,'玩法产出(新)'!$B$19:$B$25,0),1)*(V479))^AA479*(1+OFFSET('玩法产出(新)'!$C$18,MATCH(X479,'玩法产出(新)'!$B$19:$B$25,0),3)*(1-V479)+OFFSET('玩法产出(新)'!$C$18,1+MATCH(X479,'玩法产出(新)'!$B$19:$B$25,0),3)*(V479))^AB479*(1+OFFSET('玩法产出(新)'!$C$18,MATCH(X479,'玩法产出(新)'!$B$19:$B$25,0),4)*(1-V479)+OFFSET('玩法产出(新)'!$C$18,1+MATCH(X479,'玩法产出(新)'!$B$19:$B$25,0),4)*(V479))^AC479*(1+OFFSET('玩法产出(新)'!$C$18,MATCH(X479,'玩法产出(新)'!$B$19:$B$25,0),5)*(1+V479)+OFFSET('玩法产出(新)'!$C$18,1+MATCH(X479,'玩法产出(新)'!$B$19:$B$25,5),1)*(V479))^AD479*(1+OFFSET('玩法产出(新)'!$C$18,MATCH(X479,'玩法产出(新)'!$B$19:$B$25,0),6)*(1+V479)+OFFSET('玩法产出(新)'!$C$18,1+MATCH(X479,'玩法产出(新)'!$B$19:$B$25,0),6)*(V479))^AE479</f>
        <v>130.432066237386</v>
      </c>
      <c r="U479" s="226">
        <f ca="1" t="shared" si="231"/>
        <v>0.131581001658231</v>
      </c>
      <c r="V479" s="226">
        <f ca="1">COUNTIF($X$124:$X479,X479)/(COUNTIF($X$124:$X$723,X479)+1)</f>
        <v>0.494845360824742</v>
      </c>
      <c r="W479" s="19">
        <v>30</v>
      </c>
      <c r="X479" s="19" t="s">
        <v>326</v>
      </c>
      <c r="Y479" s="19">
        <f t="shared" si="237"/>
        <v>36760</v>
      </c>
      <c r="Z479" s="19">
        <f ca="1" t="shared" si="213"/>
        <v>0.375149907216495</v>
      </c>
      <c r="AA479" s="282">
        <f ca="1" t="shared" si="214"/>
        <v>2.08655625</v>
      </c>
      <c r="AB479" s="282">
        <f ca="1" t="shared" si="215"/>
        <v>18</v>
      </c>
      <c r="AC479" s="282">
        <f ca="1" t="shared" si="216"/>
        <v>7.5531</v>
      </c>
      <c r="AD479" s="282">
        <f ca="1" t="shared" si="217"/>
        <v>1.888275</v>
      </c>
      <c r="AE479" s="282">
        <f ca="1" t="shared" si="218"/>
        <v>0.47206875</v>
      </c>
      <c r="AF479" s="19" t="str">
        <f t="shared" si="219"/>
        <v>彩2</v>
      </c>
      <c r="AG479" s="19">
        <f>IFERROR(_xlfn.XLOOKUP(C479+1,[2]基因升级!$E$141:$E$500,[2]基因升级!$D$141:$D$500)-1,AG478)</f>
        <v>105</v>
      </c>
      <c r="AH479" s="19">
        <v>8</v>
      </c>
      <c r="AI479" s="19">
        <f t="shared" si="220"/>
        <v>10.5142500606751</v>
      </c>
      <c r="AJ479" s="19">
        <f t="shared" si="232"/>
        <v>0</v>
      </c>
      <c r="AK479" s="269">
        <v>2.0368</v>
      </c>
      <c r="AL479" s="287">
        <f t="shared" si="241"/>
        <v>15.8799999999998</v>
      </c>
      <c r="AM479" s="287">
        <f t="shared" si="242"/>
        <v>12.2799999999999</v>
      </c>
      <c r="AN479" s="287">
        <f t="shared" si="203"/>
        <v>8.67999999999999</v>
      </c>
      <c r="AO479" s="287">
        <f t="shared" si="238"/>
        <v>5.08</v>
      </c>
      <c r="AP479" s="86"/>
      <c r="AQ479" s="19">
        <f t="shared" si="221"/>
        <v>2.92829205816036</v>
      </c>
      <c r="AR479" s="19">
        <f t="shared" si="222"/>
        <v>2.29526476588828</v>
      </c>
      <c r="AS479" s="19">
        <f t="shared" si="223"/>
        <v>1.79908296061078</v>
      </c>
      <c r="AT479" s="19">
        <f t="shared" si="224"/>
        <v>1.41016389362271</v>
      </c>
      <c r="AU479" s="19">
        <f t="shared" si="225"/>
        <v>1</v>
      </c>
      <c r="AV479" s="232">
        <f t="shared" si="205"/>
        <v>0.0399999999999991</v>
      </c>
      <c r="AW479" s="232">
        <f t="shared" si="206"/>
        <v>0.0399999999999991</v>
      </c>
      <c r="AX479" s="232">
        <f t="shared" si="207"/>
        <v>0.0399999999999991</v>
      </c>
      <c r="AY479" s="232">
        <f t="shared" si="208"/>
        <v>0.04</v>
      </c>
      <c r="AZ479" s="232">
        <f t="shared" si="209"/>
        <v>0</v>
      </c>
    </row>
    <row r="480" spans="1:52">
      <c r="A480" s="269"/>
      <c r="C480" s="19">
        <v>357</v>
      </c>
      <c r="D480" s="86">
        <f ca="1" t="shared" si="233"/>
        <v>232.328411628442</v>
      </c>
      <c r="E480" s="251">
        <f ca="1" t="shared" si="210"/>
        <v>0.295851752643475</v>
      </c>
      <c r="F480" s="269">
        <f ca="1" t="shared" si="226"/>
        <v>526.316085641773</v>
      </c>
      <c r="G480" s="283">
        <f ca="1" t="shared" si="227"/>
        <v>155.711536381572</v>
      </c>
      <c r="H480" s="279">
        <f ca="1" t="shared" si="228"/>
        <v>0.164132910684259</v>
      </c>
      <c r="I480" s="269">
        <f ca="1">SUM($J$125:J480)/SUM($H$125:H480)</f>
        <v>0.517551863515823</v>
      </c>
      <c r="J480" s="284">
        <f t="shared" si="234"/>
        <v>0.0665742957806827</v>
      </c>
      <c r="K480" s="19">
        <f t="shared" si="236"/>
        <v>36600</v>
      </c>
      <c r="L480" s="269">
        <f t="shared" si="229"/>
        <v>2.82999999999996</v>
      </c>
      <c r="M480" s="226">
        <f ca="1" t="shared" si="230"/>
        <v>160.512</v>
      </c>
      <c r="N480" s="280">
        <f ca="1" t="shared" si="235"/>
        <v>0.0975586149035621</v>
      </c>
      <c r="O480" s="226">
        <f t="shared" si="240"/>
        <v>52.8</v>
      </c>
      <c r="P480" s="19">
        <f ca="1" t="shared" si="204"/>
        <v>21.4</v>
      </c>
      <c r="Q480" s="226">
        <f ca="1" t="shared" si="239"/>
        <v>3.04</v>
      </c>
      <c r="R480" s="269">
        <f ca="1" t="shared" si="211"/>
        <v>0.767719200301106</v>
      </c>
      <c r="S480" s="266">
        <f ca="1" t="shared" si="212"/>
        <v>72.1232917725946</v>
      </c>
      <c r="T480" s="226">
        <f ca="1">(1+OFFSET('玩法产出(新)'!$C$18,MATCH(X480,'玩法产出(新)'!$B$19:$B$25,0),1)*(1-V480)+OFFSET('玩法产出(新)'!$C$18,1+MATCH(X480,'玩法产出(新)'!$B$19:$B$25,0),1)*(V480))^AA480*(1+OFFSET('玩法产出(新)'!$C$18,MATCH(X480,'玩法产出(新)'!$B$19:$B$25,0),3)*(1-V480)+OFFSET('玩法产出(新)'!$C$18,1+MATCH(X480,'玩法产出(新)'!$B$19:$B$25,0),3)*(V480))^AB480*(1+OFFSET('玩法产出(新)'!$C$18,MATCH(X480,'玩法产出(新)'!$B$19:$B$25,0),4)*(1-V480)+OFFSET('玩法产出(新)'!$C$18,1+MATCH(X480,'玩法产出(新)'!$B$19:$B$25,0),4)*(V480))^AC480*(1+OFFSET('玩法产出(新)'!$C$18,MATCH(X480,'玩法产出(新)'!$B$19:$B$25,0),5)*(1+V480)+OFFSET('玩法产出(新)'!$C$18,1+MATCH(X480,'玩法产出(新)'!$B$19:$B$25,5),1)*(V480))^AD480*(1+OFFSET('玩法产出(新)'!$C$18,MATCH(X480,'玩法产出(新)'!$B$19:$B$25,0),6)*(1+V480)+OFFSET('玩法产出(新)'!$C$18,1+MATCH(X480,'玩法产出(新)'!$B$19:$B$25,0),6)*(V480))^AE480</f>
        <v>131.599661252185</v>
      </c>
      <c r="U480" s="226">
        <f ca="1" t="shared" si="231"/>
        <v>0.13171884195923</v>
      </c>
      <c r="V480" s="226">
        <f ca="1">COUNTIF($X$124:$X480,X480)/(COUNTIF($X$124:$X$723,X480)+1)</f>
        <v>0.496907216494845</v>
      </c>
      <c r="W480" s="19">
        <v>30</v>
      </c>
      <c r="X480" s="19" t="s">
        <v>326</v>
      </c>
      <c r="Y480" s="19">
        <f t="shared" si="237"/>
        <v>36860</v>
      </c>
      <c r="Z480" s="19">
        <f ca="1" t="shared" si="213"/>
        <v>0.370399567268041</v>
      </c>
      <c r="AA480" s="282">
        <f ca="1" t="shared" si="214"/>
        <v>2.059190625</v>
      </c>
      <c r="AB480" s="282">
        <f ca="1" t="shared" si="215"/>
        <v>18</v>
      </c>
      <c r="AC480" s="282">
        <f ca="1" t="shared" si="216"/>
        <v>7.57395</v>
      </c>
      <c r="AD480" s="282">
        <f ca="1" t="shared" si="217"/>
        <v>1.8934875</v>
      </c>
      <c r="AE480" s="282">
        <f ca="1" t="shared" si="218"/>
        <v>0.473371875</v>
      </c>
      <c r="AF480" s="19" t="str">
        <f t="shared" si="219"/>
        <v>彩2</v>
      </c>
      <c r="AG480" s="19">
        <f>IFERROR(_xlfn.XLOOKUP(C480+1,[2]基因升级!$E$141:$E$500,[2]基因升级!$D$141:$D$500)-1,AG479)</f>
        <v>105</v>
      </c>
      <c r="AH480" s="19">
        <v>8</v>
      </c>
      <c r="AI480" s="19">
        <f t="shared" si="220"/>
        <v>10.5142500606751</v>
      </c>
      <c r="AJ480" s="19">
        <f t="shared" si="232"/>
        <v>0</v>
      </c>
      <c r="AK480" s="269">
        <v>2.0368</v>
      </c>
      <c r="AL480" s="287">
        <f t="shared" si="241"/>
        <v>15.9199999999998</v>
      </c>
      <c r="AM480" s="287">
        <f t="shared" si="242"/>
        <v>12.3199999999999</v>
      </c>
      <c r="AN480" s="287">
        <f t="shared" si="203"/>
        <v>8.71999999999998</v>
      </c>
      <c r="AO480" s="287">
        <f t="shared" si="238"/>
        <v>5.12</v>
      </c>
      <c r="AP480" s="86"/>
      <c r="AQ480" s="19">
        <f t="shared" si="221"/>
        <v>2.93622776301771</v>
      </c>
      <c r="AR480" s="19">
        <f t="shared" si="222"/>
        <v>2.30148495956767</v>
      </c>
      <c r="AS480" s="19">
        <f t="shared" si="223"/>
        <v>1.80395849594187</v>
      </c>
      <c r="AT480" s="19">
        <f t="shared" si="224"/>
        <v>1.41398545384895</v>
      </c>
      <c r="AU480" s="19">
        <f t="shared" si="225"/>
        <v>1</v>
      </c>
      <c r="AV480" s="232">
        <f t="shared" si="205"/>
        <v>0.0399999999999991</v>
      </c>
      <c r="AW480" s="232">
        <f t="shared" si="206"/>
        <v>0.0399999999999991</v>
      </c>
      <c r="AX480" s="232">
        <f t="shared" si="207"/>
        <v>0.0399999999999991</v>
      </c>
      <c r="AY480" s="232">
        <f t="shared" si="208"/>
        <v>0.04</v>
      </c>
      <c r="AZ480" s="232">
        <f t="shared" si="209"/>
        <v>0</v>
      </c>
    </row>
    <row r="481" spans="1:52">
      <c r="A481" s="269"/>
      <c r="C481" s="19">
        <v>358</v>
      </c>
      <c r="D481" s="86">
        <f ca="1" t="shared" si="233"/>
        <v>232.623604937028</v>
      </c>
      <c r="E481" s="251">
        <f ca="1" t="shared" si="210"/>
        <v>0.295193308586397</v>
      </c>
      <c r="F481" s="269">
        <f ca="1" t="shared" si="226"/>
        <v>528.043382261182</v>
      </c>
      <c r="G481" s="283">
        <f ca="1" t="shared" si="227"/>
        <v>155.87487308683</v>
      </c>
      <c r="H481" s="279">
        <f ca="1" t="shared" si="228"/>
        <v>0.16333670525816</v>
      </c>
      <c r="I481" s="269">
        <f ca="1">SUM($J$125:J481)/SUM($H$125:H481)</f>
        <v>0.517427665343603</v>
      </c>
      <c r="J481" s="284">
        <f t="shared" si="234"/>
        <v>0.0664178235767139</v>
      </c>
      <c r="K481" s="19">
        <f t="shared" si="236"/>
        <v>36700</v>
      </c>
      <c r="L481" s="269">
        <f t="shared" si="229"/>
        <v>2.83499999999996</v>
      </c>
      <c r="M481" s="226">
        <f ca="1" t="shared" si="230"/>
        <v>161.568</v>
      </c>
      <c r="N481" s="280">
        <f ca="1" t="shared" si="235"/>
        <v>0.0969188816814324</v>
      </c>
      <c r="O481" s="226">
        <f t="shared" si="240"/>
        <v>52.8</v>
      </c>
      <c r="P481" s="19">
        <f ca="1" t="shared" si="204"/>
        <v>21.6</v>
      </c>
      <c r="Q481" s="226">
        <f ca="1" t="shared" si="239"/>
        <v>3.06</v>
      </c>
      <c r="R481" s="269">
        <f ca="1" t="shared" si="211"/>
        <v>0.769122753072667</v>
      </c>
      <c r="S481" s="266">
        <f ca="1" t="shared" si="212"/>
        <v>72.2551483759229</v>
      </c>
      <c r="T481" s="226">
        <f ca="1">(1+OFFSET('玩法产出(新)'!$C$18,MATCH(X481,'玩法产出(新)'!$B$19:$B$25,0),1)*(1-V481)+OFFSET('玩法产出(新)'!$C$18,1+MATCH(X481,'玩法产出(新)'!$B$19:$B$25,0),1)*(V481))^AA481*(1+OFFSET('玩法产出(新)'!$C$18,MATCH(X481,'玩法产出(新)'!$B$19:$B$25,0),3)*(1-V481)+OFFSET('玩法产出(新)'!$C$18,1+MATCH(X481,'玩法产出(新)'!$B$19:$B$25,0),3)*(V481))^AB481*(1+OFFSET('玩法产出(新)'!$C$18,MATCH(X481,'玩法产出(新)'!$B$19:$B$25,0),4)*(1-V481)+OFFSET('玩法产出(新)'!$C$18,1+MATCH(X481,'玩法产出(新)'!$B$19:$B$25,0),4)*(V481))^AC481*(1+OFFSET('玩法产出(新)'!$C$18,MATCH(X481,'玩法产出(新)'!$B$19:$B$25,0),5)*(1+V481)+OFFSET('玩法产出(新)'!$C$18,1+MATCH(X481,'玩法产出(新)'!$B$19:$B$25,5),1)*(V481))^AD481*(1+OFFSET('玩法产出(新)'!$C$18,MATCH(X481,'玩法产出(新)'!$B$19:$B$25,0),6)*(1+V481)+OFFSET('玩法产出(新)'!$C$18,1+MATCH(X481,'玩法产出(新)'!$B$19:$B$25,0),6)*(V481))^AE481</f>
        <v>132.778945876895</v>
      </c>
      <c r="U481" s="226">
        <f ca="1" t="shared" si="231"/>
        <v>0.131856603328251</v>
      </c>
      <c r="V481" s="226">
        <f ca="1">COUNTIF($X$124:$X481,X481)/(COUNTIF($X$124:$X$723,X481)+1)</f>
        <v>0.498969072164948</v>
      </c>
      <c r="W481" s="19">
        <v>30</v>
      </c>
      <c r="X481" s="19" t="s">
        <v>326</v>
      </c>
      <c r="Y481" s="19">
        <f t="shared" si="237"/>
        <v>36960</v>
      </c>
      <c r="Z481" s="19">
        <f ca="1" t="shared" si="213"/>
        <v>0.365644713402062</v>
      </c>
      <c r="AA481" s="282">
        <f ca="1" t="shared" si="214"/>
        <v>2.031825</v>
      </c>
      <c r="AB481" s="282">
        <f ca="1" t="shared" si="215"/>
        <v>18</v>
      </c>
      <c r="AC481" s="282">
        <f ca="1" t="shared" si="216"/>
        <v>7.5948</v>
      </c>
      <c r="AD481" s="282">
        <f ca="1" t="shared" si="217"/>
        <v>1.8987</v>
      </c>
      <c r="AE481" s="282">
        <f ca="1" t="shared" si="218"/>
        <v>0.474675</v>
      </c>
      <c r="AF481" s="19" t="str">
        <f t="shared" si="219"/>
        <v>彩2</v>
      </c>
      <c r="AG481" s="19">
        <f>IFERROR(_xlfn.XLOOKUP(C481+1,[2]基因升级!$E$141:$E$500,[2]基因升级!$D$141:$D$500)-1,AG480)</f>
        <v>105</v>
      </c>
      <c r="AH481" s="19">
        <v>8</v>
      </c>
      <c r="AI481" s="19">
        <f t="shared" si="220"/>
        <v>10.5142500606751</v>
      </c>
      <c r="AJ481" s="19">
        <f t="shared" si="232"/>
        <v>0</v>
      </c>
      <c r="AK481" s="269">
        <v>2.0368</v>
      </c>
      <c r="AL481" s="287">
        <f t="shared" si="241"/>
        <v>15.9599999999998</v>
      </c>
      <c r="AM481" s="287">
        <f t="shared" si="242"/>
        <v>12.3599999999999</v>
      </c>
      <c r="AN481" s="287">
        <f t="shared" si="203"/>
        <v>8.75999999999998</v>
      </c>
      <c r="AO481" s="287">
        <f t="shared" si="238"/>
        <v>5.16</v>
      </c>
      <c r="AP481" s="86"/>
      <c r="AQ481" s="19">
        <f t="shared" si="221"/>
        <v>2.94418497372568</v>
      </c>
      <c r="AR481" s="19">
        <f t="shared" si="222"/>
        <v>2.30772201004283</v>
      </c>
      <c r="AS481" s="19">
        <f t="shared" si="223"/>
        <v>1.80884724402927</v>
      </c>
      <c r="AT481" s="19">
        <f t="shared" si="224"/>
        <v>1.41781737054697</v>
      </c>
      <c r="AU481" s="19">
        <f t="shared" si="225"/>
        <v>1</v>
      </c>
      <c r="AV481" s="232">
        <f t="shared" si="205"/>
        <v>0.0399999999999991</v>
      </c>
      <c r="AW481" s="232">
        <f t="shared" si="206"/>
        <v>0.0399999999999991</v>
      </c>
      <c r="AX481" s="232">
        <f t="shared" si="207"/>
        <v>0.0399999999999991</v>
      </c>
      <c r="AY481" s="232">
        <f t="shared" si="208"/>
        <v>0.04</v>
      </c>
      <c r="AZ481" s="232">
        <f t="shared" si="209"/>
        <v>0</v>
      </c>
    </row>
    <row r="482" spans="1:52">
      <c r="A482" s="269"/>
      <c r="C482" s="19">
        <v>359</v>
      </c>
      <c r="D482" s="86">
        <f ca="1" t="shared" si="233"/>
        <v>232.918148821163</v>
      </c>
      <c r="E482" s="251">
        <f ca="1" t="shared" si="210"/>
        <v>0.294543884134668</v>
      </c>
      <c r="F482" s="269">
        <f ca="1" t="shared" si="226"/>
        <v>529.75950644339</v>
      </c>
      <c r="G482" s="283">
        <f ca="1" t="shared" si="227"/>
        <v>156.0374226851</v>
      </c>
      <c r="H482" s="279">
        <f ca="1" t="shared" si="228"/>
        <v>0.16254959827063</v>
      </c>
      <c r="I482" s="269">
        <f ca="1">SUM($J$125:J482)/SUM($H$125:H482)</f>
        <v>0.51730546690726</v>
      </c>
      <c r="J482" s="284">
        <f t="shared" si="234"/>
        <v>0.0662621144360429</v>
      </c>
      <c r="K482" s="19">
        <f t="shared" si="236"/>
        <v>36800</v>
      </c>
      <c r="L482" s="269">
        <f t="shared" si="229"/>
        <v>2.83999999999996</v>
      </c>
      <c r="M482" s="226">
        <f ca="1" t="shared" si="230"/>
        <v>162.624</v>
      </c>
      <c r="N482" s="280">
        <f ca="1" t="shared" si="235"/>
        <v>0.0962874838346011</v>
      </c>
      <c r="O482" s="226">
        <f t="shared" si="240"/>
        <v>52.8</v>
      </c>
      <c r="P482" s="19">
        <f ca="1" t="shared" si="204"/>
        <v>21.8</v>
      </c>
      <c r="Q482" s="226">
        <f ca="1" t="shared" si="239"/>
        <v>3.08</v>
      </c>
      <c r="R482" s="269">
        <f ca="1" t="shared" si="211"/>
        <v>0.770527771411366</v>
      </c>
      <c r="S482" s="266">
        <f ca="1" t="shared" si="212"/>
        <v>72.3871426617869</v>
      </c>
      <c r="T482" s="226">
        <f ca="1">(1+OFFSET('玩法产出(新)'!$C$18,MATCH(X482,'玩法产出(新)'!$B$19:$B$25,0),1)*(1-V482)+OFFSET('玩法产出(新)'!$C$18,1+MATCH(X482,'玩法产出(新)'!$B$19:$B$25,0),1)*(V482))^AA482*(1+OFFSET('玩法产出(新)'!$C$18,MATCH(X482,'玩法产出(新)'!$B$19:$B$25,0),3)*(1-V482)+OFFSET('玩法产出(新)'!$C$18,1+MATCH(X482,'玩法产出(新)'!$B$19:$B$25,0),3)*(V482))^AB482*(1+OFFSET('玩法产出(新)'!$C$18,MATCH(X482,'玩法产出(新)'!$B$19:$B$25,0),4)*(1-V482)+OFFSET('玩法产出(新)'!$C$18,1+MATCH(X482,'玩法产出(新)'!$B$19:$B$25,0),4)*(V482))^AC482*(1+OFFSET('玩法产出(新)'!$C$18,MATCH(X482,'玩法产出(新)'!$B$19:$B$25,0),5)*(1+V482)+OFFSET('玩法产出(新)'!$C$18,1+MATCH(X482,'玩法产出(新)'!$B$19:$B$25,5),1)*(V482))^AD482*(1+OFFSET('玩法产出(新)'!$C$18,MATCH(X482,'玩法产出(新)'!$B$19:$B$25,0),6)*(1+V482)+OFFSET('玩法产出(新)'!$C$18,1+MATCH(X482,'玩法产出(新)'!$B$19:$B$25,0),6)*(V482))^AE482</f>
        <v>133.970046231559</v>
      </c>
      <c r="U482" s="226">
        <f ca="1" t="shared" si="231"/>
        <v>0.131994285864024</v>
      </c>
      <c r="V482" s="226">
        <f ca="1">COUNTIF($X$124:$X482,X482)/(COUNTIF($X$124:$X$723,X482)+1)</f>
        <v>0.501030927835052</v>
      </c>
      <c r="W482" s="19">
        <v>30</v>
      </c>
      <c r="X482" s="19" t="s">
        <v>326</v>
      </c>
      <c r="Y482" s="19">
        <f t="shared" si="237"/>
        <v>37060</v>
      </c>
      <c r="Z482" s="19">
        <f ca="1" t="shared" si="213"/>
        <v>0.360885345618557</v>
      </c>
      <c r="AA482" s="282">
        <f ca="1" t="shared" si="214"/>
        <v>2.004459375</v>
      </c>
      <c r="AB482" s="282">
        <f ca="1" t="shared" si="215"/>
        <v>18</v>
      </c>
      <c r="AC482" s="282">
        <f ca="1" t="shared" si="216"/>
        <v>7.61565</v>
      </c>
      <c r="AD482" s="282">
        <f ca="1" t="shared" si="217"/>
        <v>1.9039125</v>
      </c>
      <c r="AE482" s="282">
        <f ca="1" t="shared" si="218"/>
        <v>0.475978125</v>
      </c>
      <c r="AF482" s="19" t="str">
        <f t="shared" si="219"/>
        <v>彩2</v>
      </c>
      <c r="AG482" s="19">
        <f>IFERROR(_xlfn.XLOOKUP(C482+1,[2]基因升级!$E$141:$E$500,[2]基因升级!$D$141:$D$500)-1,AG481)</f>
        <v>105</v>
      </c>
      <c r="AH482" s="19">
        <v>8</v>
      </c>
      <c r="AI482" s="19">
        <f t="shared" si="220"/>
        <v>10.5142500606751</v>
      </c>
      <c r="AJ482" s="19">
        <f t="shared" si="232"/>
        <v>0</v>
      </c>
      <c r="AK482" s="269">
        <v>2.0368</v>
      </c>
      <c r="AL482" s="287">
        <f t="shared" si="241"/>
        <v>15.9999999999998</v>
      </c>
      <c r="AM482" s="287">
        <f t="shared" si="242"/>
        <v>12.3999999999999</v>
      </c>
      <c r="AN482" s="287">
        <f t="shared" si="203"/>
        <v>8.79999999999998</v>
      </c>
      <c r="AO482" s="287">
        <f t="shared" si="238"/>
        <v>5.2</v>
      </c>
      <c r="AP482" s="86"/>
      <c r="AQ482" s="19">
        <f t="shared" si="221"/>
        <v>2.95216374856538</v>
      </c>
      <c r="AR482" s="19">
        <f t="shared" si="222"/>
        <v>2.31397596299587</v>
      </c>
      <c r="AS482" s="19">
        <f t="shared" si="223"/>
        <v>1.81374924067972</v>
      </c>
      <c r="AT482" s="19">
        <f t="shared" si="224"/>
        <v>1.42165967178291</v>
      </c>
      <c r="AU482" s="19">
        <f t="shared" si="225"/>
        <v>1</v>
      </c>
      <c r="AV482" s="232">
        <f t="shared" si="205"/>
        <v>0.0399999999999991</v>
      </c>
      <c r="AW482" s="232">
        <f t="shared" si="206"/>
        <v>0.0399999999999991</v>
      </c>
      <c r="AX482" s="232">
        <f t="shared" si="207"/>
        <v>0.0399999999999991</v>
      </c>
      <c r="AY482" s="232">
        <f t="shared" si="208"/>
        <v>0.04</v>
      </c>
      <c r="AZ482" s="232">
        <f t="shared" si="209"/>
        <v>0</v>
      </c>
    </row>
    <row r="483" spans="1:52">
      <c r="A483" s="269"/>
      <c r="C483" s="19">
        <v>360</v>
      </c>
      <c r="D483" s="86">
        <f ca="1" t="shared" si="233"/>
        <v>236.221260265743</v>
      </c>
      <c r="E483" s="251">
        <f ca="1" t="shared" si="210"/>
        <v>3.30311144457994</v>
      </c>
      <c r="F483" s="269">
        <f ca="1" t="shared" si="226"/>
        <v>48.1995248756319</v>
      </c>
      <c r="G483" s="283">
        <f ca="1" t="shared" si="227"/>
        <v>159.208402240015</v>
      </c>
      <c r="H483" s="279">
        <f ca="1" t="shared" si="228"/>
        <v>3.17097955491479</v>
      </c>
      <c r="I483" s="269">
        <f ca="1">SUM($J$125:J483)/SUM($H$125:H483)</f>
        <v>0.506754734690022</v>
      </c>
      <c r="J483" s="284">
        <f t="shared" si="234"/>
        <v>0.0661071626121412</v>
      </c>
      <c r="K483" s="19">
        <f t="shared" si="236"/>
        <v>36900</v>
      </c>
      <c r="L483" s="269">
        <f t="shared" si="229"/>
        <v>2.84499999999996</v>
      </c>
      <c r="M483" s="226">
        <f ca="1" t="shared" si="230"/>
        <v>200.64</v>
      </c>
      <c r="N483" s="280">
        <f ca="1" t="shared" si="235"/>
        <v>3.10487239230265</v>
      </c>
      <c r="O483" s="226">
        <f t="shared" si="240"/>
        <v>105.6</v>
      </c>
      <c r="P483" s="19">
        <f ca="1" t="shared" si="204"/>
        <v>10</v>
      </c>
      <c r="Q483" s="226">
        <f ca="1" t="shared" si="239"/>
        <v>1.9</v>
      </c>
      <c r="R483" s="269">
        <f ca="1" t="shared" si="211"/>
        <v>0.771934254479109</v>
      </c>
      <c r="S483" s="266">
        <f ca="1" t="shared" si="212"/>
        <v>72.519274551452</v>
      </c>
      <c r="T483" s="226">
        <f ca="1">(1+OFFSET('玩法产出(新)'!$C$18,MATCH(X483,'玩法产出(新)'!$B$19:$B$25,0),1)*(1-V483)+OFFSET('玩法产出(新)'!$C$18,1+MATCH(X483,'玩法产出(新)'!$B$19:$B$25,0),1)*(V483))^AA483*(1+OFFSET('玩法产出(新)'!$C$18,MATCH(X483,'玩法产出(新)'!$B$19:$B$25,0),3)*(1-V483)+OFFSET('玩法产出(新)'!$C$18,1+MATCH(X483,'玩法产出(新)'!$B$19:$B$25,0),3)*(V483))^AB483*(1+OFFSET('玩法产出(新)'!$C$18,MATCH(X483,'玩法产出(新)'!$B$19:$B$25,0),4)*(1-V483)+OFFSET('玩法产出(新)'!$C$18,1+MATCH(X483,'玩法产出(新)'!$B$19:$B$25,0),4)*(V483))^AC483*(1+OFFSET('玩法产出(新)'!$C$18,MATCH(X483,'玩法产出(新)'!$B$19:$B$25,0),5)*(1+V483)+OFFSET('玩法产出(新)'!$C$18,1+MATCH(X483,'玩法产出(新)'!$B$19:$B$25,5),1)*(V483))^AD483*(1+OFFSET('玩法产出(新)'!$C$18,MATCH(X483,'玩法产出(新)'!$B$19:$B$25,0),6)*(1+V483)+OFFSET('玩法产出(新)'!$C$18,1+MATCH(X483,'玩法产出(新)'!$B$19:$B$25,0),6)*(V483))^AE483</f>
        <v>135.173089880537</v>
      </c>
      <c r="U483" s="226">
        <f ca="1" t="shared" si="231"/>
        <v>0.132131889665148</v>
      </c>
      <c r="V483" s="226">
        <f ca="1">COUNTIF($X$124:$X483,X483)/(COUNTIF($X$124:$X$723,X483)+1)</f>
        <v>0.503092783505155</v>
      </c>
      <c r="W483" s="19">
        <v>30</v>
      </c>
      <c r="X483" s="19" t="s">
        <v>326</v>
      </c>
      <c r="Y483" s="19">
        <f t="shared" si="237"/>
        <v>37160</v>
      </c>
      <c r="Z483" s="19">
        <f ca="1" t="shared" si="213"/>
        <v>0.356121463917526</v>
      </c>
      <c r="AA483" s="282">
        <f ca="1" t="shared" si="214"/>
        <v>1.97709375</v>
      </c>
      <c r="AB483" s="282">
        <f ca="1" t="shared" si="215"/>
        <v>18</v>
      </c>
      <c r="AC483" s="282">
        <f ca="1" t="shared" si="216"/>
        <v>7.6365</v>
      </c>
      <c r="AD483" s="282">
        <f ca="1" t="shared" si="217"/>
        <v>1.909125</v>
      </c>
      <c r="AE483" s="282">
        <f ca="1" t="shared" si="218"/>
        <v>0.47728125</v>
      </c>
      <c r="AF483" s="19" t="str">
        <f t="shared" si="219"/>
        <v>彩3</v>
      </c>
      <c r="AG483" s="19">
        <f>IFERROR(_xlfn.XLOOKUP(C483+1,[2]基因升级!$E$141:$E$500,[2]基因升级!$D$141:$D$500)-1,AG482)</f>
        <v>105</v>
      </c>
      <c r="AH483" s="19">
        <v>8</v>
      </c>
      <c r="AI483" s="19">
        <f t="shared" si="220"/>
        <v>10.5142500606751</v>
      </c>
      <c r="AJ483" s="19">
        <f t="shared" si="232"/>
        <v>0</v>
      </c>
      <c r="AK483" s="269">
        <v>2.0368</v>
      </c>
      <c r="AL483" s="287">
        <f t="shared" si="241"/>
        <v>16.0399999999998</v>
      </c>
      <c r="AM483" s="287">
        <f t="shared" si="242"/>
        <v>12.4399999999999</v>
      </c>
      <c r="AN483" s="287">
        <f t="shared" si="203"/>
        <v>8.83999999999998</v>
      </c>
      <c r="AO483" s="287">
        <f t="shared" si="238"/>
        <v>5.24</v>
      </c>
      <c r="AP483" s="86"/>
      <c r="AQ483" s="19">
        <f t="shared" si="221"/>
        <v>2.96016414597584</v>
      </c>
      <c r="AR483" s="19">
        <f t="shared" si="222"/>
        <v>2.3202468642327</v>
      </c>
      <c r="AS483" s="19">
        <f t="shared" si="223"/>
        <v>1.81866452179697</v>
      </c>
      <c r="AT483" s="19">
        <f t="shared" si="224"/>
        <v>1.42551238569901</v>
      </c>
      <c r="AU483" s="19">
        <f t="shared" si="225"/>
        <v>1</v>
      </c>
      <c r="AV483" s="232">
        <f t="shared" si="205"/>
        <v>0.0399999999999991</v>
      </c>
      <c r="AW483" s="232">
        <f t="shared" si="206"/>
        <v>0.0399999999999991</v>
      </c>
      <c r="AX483" s="232">
        <f t="shared" si="207"/>
        <v>0.0399999999999991</v>
      </c>
      <c r="AY483" s="232">
        <f t="shared" si="208"/>
        <v>0.04</v>
      </c>
      <c r="AZ483" s="232">
        <f t="shared" si="209"/>
        <v>0</v>
      </c>
    </row>
    <row r="484" spans="1:52">
      <c r="A484" s="269"/>
      <c r="C484" s="19">
        <v>361</v>
      </c>
      <c r="D484" s="86">
        <f ca="1" t="shared" si="233"/>
        <v>236.574249256032</v>
      </c>
      <c r="E484" s="251">
        <f ca="1" t="shared" si="210"/>
        <v>0.352988990289313</v>
      </c>
      <c r="F484" s="269">
        <f ca="1" t="shared" si="226"/>
        <v>451.654658364288</v>
      </c>
      <c r="G484" s="283">
        <f ca="1" t="shared" si="227"/>
        <v>159.429121815475</v>
      </c>
      <c r="H484" s="279">
        <f ca="1" t="shared" si="228"/>
        <v>0.220719575459498</v>
      </c>
      <c r="I484" s="269">
        <f ca="1">SUM($J$125:J484)/SUM($H$125:H484)</f>
        <v>0.506447580857303</v>
      </c>
      <c r="J484" s="284">
        <f t="shared" si="234"/>
        <v>0.0659529624174411</v>
      </c>
      <c r="K484" s="19">
        <f t="shared" si="236"/>
        <v>37000</v>
      </c>
      <c r="L484" s="269">
        <f t="shared" si="229"/>
        <v>2.84999999999996</v>
      </c>
      <c r="M484" s="226">
        <f ca="1" t="shared" si="230"/>
        <v>202.752</v>
      </c>
      <c r="N484" s="280">
        <f ca="1" t="shared" si="235"/>
        <v>0.154766613042071</v>
      </c>
      <c r="O484" s="226">
        <f t="shared" si="240"/>
        <v>105.6</v>
      </c>
      <c r="P484" s="19">
        <f ca="1" t="shared" si="204"/>
        <v>10.2</v>
      </c>
      <c r="Q484" s="226">
        <f ca="1" t="shared" si="239"/>
        <v>1.92</v>
      </c>
      <c r="R484" s="269">
        <f ca="1" t="shared" si="211"/>
        <v>0.773342201438845</v>
      </c>
      <c r="S484" s="266">
        <f ca="1" t="shared" si="212"/>
        <v>72.6515439662818</v>
      </c>
      <c r="T484" s="226">
        <f ca="1">(1+OFFSET('玩法产出(新)'!$C$18,MATCH(X484,'玩法产出(新)'!$B$19:$B$25,0),1)*(1-V484)+OFFSET('玩法产出(新)'!$C$18,1+MATCH(X484,'玩法产出(新)'!$B$19:$B$25,0),1)*(V484))^AA484*(1+OFFSET('玩法产出(新)'!$C$18,MATCH(X484,'玩法产出(新)'!$B$19:$B$25,0),3)*(1-V484)+OFFSET('玩法产出(新)'!$C$18,1+MATCH(X484,'玩法产出(新)'!$B$19:$B$25,0),3)*(V484))^AB484*(1+OFFSET('玩法产出(新)'!$C$18,MATCH(X484,'玩法产出(新)'!$B$19:$B$25,0),4)*(1-V484)+OFFSET('玩法产出(新)'!$C$18,1+MATCH(X484,'玩法产出(新)'!$B$19:$B$25,0),4)*(V484))^AC484*(1+OFFSET('玩法产出(新)'!$C$18,MATCH(X484,'玩法产出(新)'!$B$19:$B$25,0),5)*(1+V484)+OFFSET('玩法产出(新)'!$C$18,1+MATCH(X484,'玩法产出(新)'!$B$19:$B$25,5),1)*(V484))^AD484*(1+OFFSET('玩法产出(新)'!$C$18,MATCH(X484,'玩法产出(新)'!$B$19:$B$25,0),6)*(1+V484)+OFFSET('玩法产出(新)'!$C$18,1+MATCH(X484,'玩法产出(新)'!$B$19:$B$25,0),6)*(V484))^AE484</f>
        <v>136.388205849876</v>
      </c>
      <c r="U484" s="226">
        <f ca="1" t="shared" si="231"/>
        <v>0.132269414829801</v>
      </c>
      <c r="V484" s="226">
        <f ca="1">COUNTIF($X$124:$X484,X484)/(COUNTIF($X$124:$X$723,X484)+1)</f>
        <v>0.505154639175258</v>
      </c>
      <c r="W484" s="19">
        <v>30</v>
      </c>
      <c r="X484" s="19" t="s">
        <v>326</v>
      </c>
      <c r="Y484" s="19">
        <f t="shared" si="237"/>
        <v>37260</v>
      </c>
      <c r="Z484" s="19">
        <f ca="1" t="shared" si="213"/>
        <v>0.351353068298969</v>
      </c>
      <c r="AA484" s="282">
        <f ca="1" t="shared" si="214"/>
        <v>1.949728125</v>
      </c>
      <c r="AB484" s="282">
        <f ca="1" t="shared" si="215"/>
        <v>18</v>
      </c>
      <c r="AC484" s="282">
        <f ca="1" t="shared" si="216"/>
        <v>7.65735</v>
      </c>
      <c r="AD484" s="282">
        <f ca="1" t="shared" si="217"/>
        <v>1.9143375</v>
      </c>
      <c r="AE484" s="282">
        <f ca="1" t="shared" si="218"/>
        <v>0.478584375</v>
      </c>
      <c r="AF484" s="19" t="str">
        <f t="shared" si="219"/>
        <v>彩3</v>
      </c>
      <c r="AG484" s="19">
        <f>IFERROR(_xlfn.XLOOKUP(C484+1,[2]基因升级!$E$141:$E$500,[2]基因升级!$D$141:$D$500)-1,AG483)</f>
        <v>105</v>
      </c>
      <c r="AH484" s="19">
        <v>8</v>
      </c>
      <c r="AI484" s="19">
        <f t="shared" si="220"/>
        <v>10.5142500606751</v>
      </c>
      <c r="AJ484" s="19">
        <f t="shared" si="232"/>
        <v>0</v>
      </c>
      <c r="AK484" s="269">
        <v>2.0368</v>
      </c>
      <c r="AL484" s="287">
        <f t="shared" si="241"/>
        <v>16.0799999999998</v>
      </c>
      <c r="AM484" s="287">
        <f t="shared" si="242"/>
        <v>12.4799999999999</v>
      </c>
      <c r="AN484" s="287">
        <f t="shared" si="203"/>
        <v>8.87999999999998</v>
      </c>
      <c r="AO484" s="287">
        <f t="shared" si="238"/>
        <v>5.28</v>
      </c>
      <c r="AP484" s="86"/>
      <c r="AQ484" s="19">
        <f t="shared" si="221"/>
        <v>2.96818622455447</v>
      </c>
      <c r="AR484" s="19">
        <f t="shared" si="222"/>
        <v>2.32653475968337</v>
      </c>
      <c r="AS484" s="19">
        <f t="shared" si="223"/>
        <v>1.82359312338208</v>
      </c>
      <c r="AT484" s="19">
        <f t="shared" si="224"/>
        <v>1.42937554051373</v>
      </c>
      <c r="AU484" s="19">
        <f t="shared" si="225"/>
        <v>1</v>
      </c>
      <c r="AV484" s="232">
        <f t="shared" si="205"/>
        <v>0.0399999999999991</v>
      </c>
      <c r="AW484" s="232">
        <f t="shared" si="206"/>
        <v>0.0399999999999991</v>
      </c>
      <c r="AX484" s="232">
        <f t="shared" si="207"/>
        <v>0.0399999999999991</v>
      </c>
      <c r="AY484" s="232">
        <f t="shared" si="208"/>
        <v>0.04</v>
      </c>
      <c r="AZ484" s="232">
        <f t="shared" si="209"/>
        <v>0</v>
      </c>
    </row>
    <row r="485" spans="1:52">
      <c r="A485" s="269"/>
      <c r="C485" s="19">
        <v>362</v>
      </c>
      <c r="D485" s="86">
        <f ca="1" t="shared" si="233"/>
        <v>236.925618410799</v>
      </c>
      <c r="E485" s="251">
        <f ca="1" t="shared" si="210"/>
        <v>0.351369154766988</v>
      </c>
      <c r="F485" s="269">
        <f ca="1" t="shared" si="226"/>
        <v>454.359985624398</v>
      </c>
      <c r="G485" s="283">
        <f ca="1" t="shared" si="227"/>
        <v>159.648084108785</v>
      </c>
      <c r="H485" s="279">
        <f ca="1" t="shared" si="228"/>
        <v>0.218962293310625</v>
      </c>
      <c r="I485" s="269">
        <f ca="1">SUM($J$125:J485)/SUM($H$125:H485)</f>
        <v>0.506146251135695</v>
      </c>
      <c r="J485" s="284">
        <f t="shared" si="234"/>
        <v>0.0657995082225398</v>
      </c>
      <c r="K485" s="19">
        <f t="shared" si="236"/>
        <v>37100</v>
      </c>
      <c r="L485" s="269">
        <f t="shared" si="229"/>
        <v>2.85499999999996</v>
      </c>
      <c r="M485" s="226">
        <f ca="1" t="shared" si="230"/>
        <v>204.864</v>
      </c>
      <c r="N485" s="280">
        <f ca="1" t="shared" si="235"/>
        <v>0.153162785088099</v>
      </c>
      <c r="O485" s="226">
        <f t="shared" si="240"/>
        <v>105.6</v>
      </c>
      <c r="P485" s="19">
        <f ca="1" t="shared" si="204"/>
        <v>10.4</v>
      </c>
      <c r="Q485" s="226">
        <f ca="1" t="shared" si="239"/>
        <v>1.94</v>
      </c>
      <c r="R485" s="269">
        <f ca="1" t="shared" si="211"/>
        <v>0.774751611454575</v>
      </c>
      <c r="S485" s="266">
        <f ca="1" t="shared" si="212"/>
        <v>72.7839508277382</v>
      </c>
      <c r="T485" s="226">
        <f ca="1">(1+OFFSET('玩法产出(新)'!$C$18,MATCH(X485,'玩法产出(新)'!$B$19:$B$25,0),1)*(1-V485)+OFFSET('玩法产出(新)'!$C$18,1+MATCH(X485,'玩法产出(新)'!$B$19:$B$25,0),1)*(V485))^AA485*(1+OFFSET('玩法产出(新)'!$C$18,MATCH(X485,'玩法产出(新)'!$B$19:$B$25,0),3)*(1-V485)+OFFSET('玩法产出(新)'!$C$18,1+MATCH(X485,'玩法产出(新)'!$B$19:$B$25,0),3)*(V485))^AB485*(1+OFFSET('玩法产出(新)'!$C$18,MATCH(X485,'玩法产出(新)'!$B$19:$B$25,0),4)*(1-V485)+OFFSET('玩法产出(新)'!$C$18,1+MATCH(X485,'玩法产出(新)'!$B$19:$B$25,0),4)*(V485))^AC485*(1+OFFSET('玩法产出(新)'!$C$18,MATCH(X485,'玩法产出(新)'!$B$19:$B$25,0),5)*(1+V485)+OFFSET('玩法产出(新)'!$C$18,1+MATCH(X485,'玩法产出(新)'!$B$19:$B$25,5),1)*(V485))^AD485*(1+OFFSET('玩法产出(新)'!$C$18,MATCH(X485,'玩法产出(新)'!$B$19:$B$25,0),6)*(1+V485)+OFFSET('玩法产出(新)'!$C$18,1+MATCH(X485,'玩法产出(新)'!$B$19:$B$25,0),6)*(V485))^AE485</f>
        <v>137.615524644915</v>
      </c>
      <c r="U485" s="226">
        <f ca="1" t="shared" si="231"/>
        <v>0.132406861456349</v>
      </c>
      <c r="V485" s="226">
        <f ca="1">COUNTIF($X$124:$X485,X485)/(COUNTIF($X$124:$X$723,X485)+1)</f>
        <v>0.507216494845361</v>
      </c>
      <c r="W485" s="19">
        <v>30</v>
      </c>
      <c r="X485" s="19" t="s">
        <v>326</v>
      </c>
      <c r="Y485" s="19">
        <f t="shared" si="237"/>
        <v>37360</v>
      </c>
      <c r="Z485" s="19">
        <f ca="1" t="shared" si="213"/>
        <v>0.346580158762886</v>
      </c>
      <c r="AA485" s="282">
        <f ca="1" t="shared" si="214"/>
        <v>1.9223625</v>
      </c>
      <c r="AB485" s="282">
        <f ca="1" t="shared" si="215"/>
        <v>18</v>
      </c>
      <c r="AC485" s="282">
        <f ca="1" t="shared" si="216"/>
        <v>7.6782</v>
      </c>
      <c r="AD485" s="282">
        <f ca="1" t="shared" si="217"/>
        <v>1.91955</v>
      </c>
      <c r="AE485" s="282">
        <f ca="1" t="shared" si="218"/>
        <v>0.4798875</v>
      </c>
      <c r="AF485" s="19" t="str">
        <f t="shared" si="219"/>
        <v>彩3</v>
      </c>
      <c r="AG485" s="19">
        <f>IFERROR(_xlfn.XLOOKUP(C485+1,[2]基因升级!$E$141:$E$500,[2]基因升级!$D$141:$D$500)-1,AG484)</f>
        <v>105</v>
      </c>
      <c r="AH485" s="19">
        <v>8</v>
      </c>
      <c r="AI485" s="19">
        <f t="shared" si="220"/>
        <v>10.5142500606751</v>
      </c>
      <c r="AJ485" s="19">
        <f t="shared" si="232"/>
        <v>0</v>
      </c>
      <c r="AK485" s="269">
        <v>2.0368</v>
      </c>
      <c r="AL485" s="287">
        <f t="shared" si="241"/>
        <v>16.1199999999998</v>
      </c>
      <c r="AM485" s="287">
        <f t="shared" si="242"/>
        <v>12.5199999999999</v>
      </c>
      <c r="AN485" s="287">
        <f t="shared" si="203"/>
        <v>8.91999999999998</v>
      </c>
      <c r="AO485" s="287">
        <f t="shared" si="238"/>
        <v>5.32</v>
      </c>
      <c r="AP485" s="86"/>
      <c r="AQ485" s="19">
        <f t="shared" si="221"/>
        <v>2.97623004305751</v>
      </c>
      <c r="AR485" s="19">
        <f t="shared" si="222"/>
        <v>2.33283969540239</v>
      </c>
      <c r="AS485" s="19">
        <f t="shared" si="223"/>
        <v>1.82853508153367</v>
      </c>
      <c r="AT485" s="19">
        <f t="shared" si="224"/>
        <v>1.43324916452204</v>
      </c>
      <c r="AU485" s="19">
        <f t="shared" si="225"/>
        <v>1</v>
      </c>
      <c r="AV485" s="232">
        <f t="shared" si="205"/>
        <v>0.0399999999999991</v>
      </c>
      <c r="AW485" s="232">
        <f t="shared" si="206"/>
        <v>0.0399999999999991</v>
      </c>
      <c r="AX485" s="232">
        <f t="shared" si="207"/>
        <v>0.0399999999999991</v>
      </c>
      <c r="AY485" s="232">
        <f t="shared" si="208"/>
        <v>0.04</v>
      </c>
      <c r="AZ485" s="232">
        <f t="shared" si="209"/>
        <v>0</v>
      </c>
    </row>
    <row r="486" spans="1:52">
      <c r="A486" s="269"/>
      <c r="C486" s="19">
        <v>363</v>
      </c>
      <c r="D486" s="86">
        <f ca="1" t="shared" si="233"/>
        <v>237.275401291941</v>
      </c>
      <c r="E486" s="251">
        <f ca="1" t="shared" si="210"/>
        <v>0.349782881141543</v>
      </c>
      <c r="F486" s="269">
        <f ca="1" t="shared" si="226"/>
        <v>457.041586022025</v>
      </c>
      <c r="G486" s="283">
        <f ca="1" t="shared" si="227"/>
        <v>159.865322760284</v>
      </c>
      <c r="H486" s="279">
        <f ca="1" t="shared" si="228"/>
        <v>0.217238651498889</v>
      </c>
      <c r="I486" s="269">
        <f ca="1">SUM($J$125:J486)/SUM($H$125:H486)</f>
        <v>0.505850600789196</v>
      </c>
      <c r="J486" s="284">
        <f t="shared" si="234"/>
        <v>0.0656467944555317</v>
      </c>
      <c r="K486" s="19">
        <f t="shared" si="236"/>
        <v>37200</v>
      </c>
      <c r="L486" s="269">
        <f t="shared" si="229"/>
        <v>2.85999999999996</v>
      </c>
      <c r="M486" s="226">
        <f ca="1" t="shared" si="230"/>
        <v>206.976</v>
      </c>
      <c r="N486" s="280">
        <f ca="1" t="shared" si="235"/>
        <v>0.151591857043343</v>
      </c>
      <c r="O486" s="226">
        <f t="shared" si="240"/>
        <v>105.6</v>
      </c>
      <c r="P486" s="19">
        <f ca="1" t="shared" si="204"/>
        <v>10.6</v>
      </c>
      <c r="Q486" s="226">
        <f ca="1" t="shared" si="239"/>
        <v>1.96</v>
      </c>
      <c r="R486" s="269">
        <f ca="1" t="shared" si="211"/>
        <v>0.776162483691336</v>
      </c>
      <c r="S486" s="266">
        <f ca="1" t="shared" si="212"/>
        <v>72.9164950573809</v>
      </c>
      <c r="T486" s="226">
        <f ca="1">(1+OFFSET('玩法产出(新)'!$C$18,MATCH(X486,'玩法产出(新)'!$B$19:$B$25,0),1)*(1-V486)+OFFSET('玩法产出(新)'!$C$18,1+MATCH(X486,'玩法产出(新)'!$B$19:$B$25,0),1)*(V486))^AA486*(1+OFFSET('玩法产出(新)'!$C$18,MATCH(X486,'玩法产出(新)'!$B$19:$B$25,0),3)*(1-V486)+OFFSET('玩法产出(新)'!$C$18,1+MATCH(X486,'玩法产出(新)'!$B$19:$B$25,0),3)*(V486))^AB486*(1+OFFSET('玩法产出(新)'!$C$18,MATCH(X486,'玩法产出(新)'!$B$19:$B$25,0),4)*(1-V486)+OFFSET('玩法产出(新)'!$C$18,1+MATCH(X486,'玩法产出(新)'!$B$19:$B$25,0),4)*(V486))^AC486*(1+OFFSET('玩法产出(新)'!$C$18,MATCH(X486,'玩法产出(新)'!$B$19:$B$25,0),5)*(1+V486)+OFFSET('玩法产出(新)'!$C$18,1+MATCH(X486,'玩法产出(新)'!$B$19:$B$25,5),1)*(V486))^AD486*(1+OFFSET('玩法产出(新)'!$C$18,MATCH(X486,'玩法产出(新)'!$B$19:$B$25,0),6)*(1+V486)+OFFSET('玩法产出(新)'!$C$18,1+MATCH(X486,'玩法产出(新)'!$B$19:$B$25,0),6)*(V486))^AE486</f>
        <v>138.855178268093</v>
      </c>
      <c r="U486" s="226">
        <f ca="1" t="shared" si="231"/>
        <v>0.132544229642668</v>
      </c>
      <c r="V486" s="226">
        <f ca="1">COUNTIF($X$124:$X486,X486)/(COUNTIF($X$124:$X$723,X486)+1)</f>
        <v>0.509278350515464</v>
      </c>
      <c r="W486" s="19">
        <v>30</v>
      </c>
      <c r="X486" s="19" t="s">
        <v>326</v>
      </c>
      <c r="Y486" s="19">
        <f t="shared" si="237"/>
        <v>37460</v>
      </c>
      <c r="Z486" s="19">
        <f ca="1" t="shared" si="213"/>
        <v>0.341802735309278</v>
      </c>
      <c r="AA486" s="282">
        <f ca="1" t="shared" si="214"/>
        <v>1.894996875</v>
      </c>
      <c r="AB486" s="282">
        <f ca="1" t="shared" si="215"/>
        <v>18</v>
      </c>
      <c r="AC486" s="282">
        <f ca="1" t="shared" si="216"/>
        <v>7.69905</v>
      </c>
      <c r="AD486" s="282">
        <f ca="1" t="shared" si="217"/>
        <v>1.9247625</v>
      </c>
      <c r="AE486" s="282">
        <f ca="1" t="shared" si="218"/>
        <v>0.481190625</v>
      </c>
      <c r="AF486" s="19" t="str">
        <f t="shared" si="219"/>
        <v>彩3</v>
      </c>
      <c r="AG486" s="19">
        <f>IFERROR(_xlfn.XLOOKUP(C486+1,[2]基因升级!$E$141:$E$500,[2]基因升级!$D$141:$D$500)-1,AG485)</f>
        <v>106</v>
      </c>
      <c r="AH486" s="19">
        <v>8</v>
      </c>
      <c r="AI486" s="19">
        <f t="shared" si="220"/>
        <v>10.5142500606751</v>
      </c>
      <c r="AJ486" s="19">
        <f t="shared" si="232"/>
        <v>0</v>
      </c>
      <c r="AK486" s="269">
        <v>2.0368</v>
      </c>
      <c r="AL486" s="287">
        <f t="shared" si="241"/>
        <v>16.1599999999998</v>
      </c>
      <c r="AM486" s="287">
        <f t="shared" si="242"/>
        <v>12.5599999999999</v>
      </c>
      <c r="AN486" s="287">
        <f t="shared" si="203"/>
        <v>8.95999999999998</v>
      </c>
      <c r="AO486" s="287">
        <f t="shared" si="238"/>
        <v>5.36</v>
      </c>
      <c r="AP486" s="86"/>
      <c r="AQ486" s="19">
        <f t="shared" si="221"/>
        <v>2.98429566040037</v>
      </c>
      <c r="AR486" s="19">
        <f t="shared" si="222"/>
        <v>2.33916171756907</v>
      </c>
      <c r="AS486" s="19">
        <f t="shared" si="223"/>
        <v>1.83349043244818</v>
      </c>
      <c r="AT486" s="19">
        <f t="shared" si="224"/>
        <v>1.43713328609557</v>
      </c>
      <c r="AU486" s="19">
        <f t="shared" si="225"/>
        <v>1</v>
      </c>
      <c r="AV486" s="232">
        <f t="shared" si="205"/>
        <v>0.0399999999999991</v>
      </c>
      <c r="AW486" s="232">
        <f t="shared" si="206"/>
        <v>0.0399999999999991</v>
      </c>
      <c r="AX486" s="232">
        <f t="shared" si="207"/>
        <v>0.0399999999999991</v>
      </c>
      <c r="AY486" s="232">
        <f t="shared" si="208"/>
        <v>0.04</v>
      </c>
      <c r="AZ486" s="232">
        <f t="shared" si="209"/>
        <v>0</v>
      </c>
    </row>
    <row r="487" spans="1:52">
      <c r="A487" s="269"/>
      <c r="C487" s="19">
        <v>364</v>
      </c>
      <c r="D487" s="86">
        <f ca="1" t="shared" si="233"/>
        <v>237.623630453873</v>
      </c>
      <c r="E487" s="251">
        <f ca="1" t="shared" si="210"/>
        <v>0.348229161932864</v>
      </c>
      <c r="F487" s="269">
        <f ca="1" t="shared" si="226"/>
        <v>459.699783654515</v>
      </c>
      <c r="G487" s="283">
        <f ca="1" t="shared" si="227"/>
        <v>160.08087040273</v>
      </c>
      <c r="H487" s="279">
        <f ca="1" t="shared" si="228"/>
        <v>0.215547642446211</v>
      </c>
      <c r="I487" s="269">
        <f ca="1">SUM($J$125:J487)/SUM($H$125:H487)</f>
        <v>0.505560489939544</v>
      </c>
      <c r="J487" s="284">
        <f t="shared" si="234"/>
        <v>0.0654948156010704</v>
      </c>
      <c r="K487" s="19">
        <f t="shared" si="236"/>
        <v>37300</v>
      </c>
      <c r="L487" s="269">
        <f t="shared" si="229"/>
        <v>2.86499999999996</v>
      </c>
      <c r="M487" s="226">
        <f ca="1" t="shared" si="230"/>
        <v>209.088</v>
      </c>
      <c r="N487" s="280">
        <f ca="1" t="shared" si="235"/>
        <v>0.150052826845169</v>
      </c>
      <c r="O487" s="226">
        <f t="shared" si="240"/>
        <v>105.6</v>
      </c>
      <c r="P487" s="19">
        <f ca="1" t="shared" si="204"/>
        <v>10.8</v>
      </c>
      <c r="Q487" s="226">
        <f ca="1" t="shared" si="239"/>
        <v>1.98</v>
      </c>
      <c r="R487" s="269">
        <f ca="1" t="shared" si="211"/>
        <v>0.777574817315211</v>
      </c>
      <c r="S487" s="266">
        <f ca="1" t="shared" si="212"/>
        <v>73.0491765768675</v>
      </c>
      <c r="T487" s="226">
        <f ca="1">(1+OFFSET('玩法产出(新)'!$C$18,MATCH(X487,'玩法产出(新)'!$B$19:$B$25,0),1)*(1-V487)+OFFSET('玩法产出(新)'!$C$18,1+MATCH(X487,'玩法产出(新)'!$B$19:$B$25,0),1)*(V487))^AA487*(1+OFFSET('玩法产出(新)'!$C$18,MATCH(X487,'玩法产出(新)'!$B$19:$B$25,0),3)*(1-V487)+OFFSET('玩法产出(新)'!$C$18,1+MATCH(X487,'玩法产出(新)'!$B$19:$B$25,0),3)*(V487))^AB487*(1+OFFSET('玩法产出(新)'!$C$18,MATCH(X487,'玩法产出(新)'!$B$19:$B$25,0),4)*(1-V487)+OFFSET('玩法产出(新)'!$C$18,1+MATCH(X487,'玩法产出(新)'!$B$19:$B$25,0),4)*(V487))^AC487*(1+OFFSET('玩法产出(新)'!$C$18,MATCH(X487,'玩法产出(新)'!$B$19:$B$25,0),5)*(1+V487)+OFFSET('玩法产出(新)'!$C$18,1+MATCH(X487,'玩法产出(新)'!$B$19:$B$25,5),1)*(V487))^AD487*(1+OFFSET('玩法产出(新)'!$C$18,MATCH(X487,'玩法产出(新)'!$B$19:$B$25,0),6)*(1+V487)+OFFSET('玩法产出(新)'!$C$18,1+MATCH(X487,'玩法产出(新)'!$B$19:$B$25,0),6)*(V487))^AE487</f>
        <v>140.107300237001</v>
      </c>
      <c r="U487" s="226">
        <f ca="1" t="shared" si="231"/>
        <v>0.132681519486625</v>
      </c>
      <c r="V487" s="226">
        <f ca="1">COUNTIF($X$124:$X487,X487)/(COUNTIF($X$124:$X$723,X487)+1)</f>
        <v>0.511340206185567</v>
      </c>
      <c r="W487" s="19">
        <v>30</v>
      </c>
      <c r="X487" s="19" t="s">
        <v>326</v>
      </c>
      <c r="Y487" s="19">
        <f t="shared" si="237"/>
        <v>37560</v>
      </c>
      <c r="Z487" s="19">
        <f ca="1" t="shared" si="213"/>
        <v>0.337020797938145</v>
      </c>
      <c r="AA487" s="282">
        <f ca="1" t="shared" si="214"/>
        <v>1.86763125</v>
      </c>
      <c r="AB487" s="282">
        <f ca="1" t="shared" si="215"/>
        <v>18</v>
      </c>
      <c r="AC487" s="282">
        <f ca="1" t="shared" si="216"/>
        <v>7.7199</v>
      </c>
      <c r="AD487" s="282">
        <f ca="1" t="shared" si="217"/>
        <v>1.929975</v>
      </c>
      <c r="AE487" s="282">
        <f ca="1" t="shared" si="218"/>
        <v>0.48249375</v>
      </c>
      <c r="AF487" s="19" t="str">
        <f t="shared" si="219"/>
        <v>彩3</v>
      </c>
      <c r="AG487" s="19">
        <f>IFERROR(_xlfn.XLOOKUP(C487+1,[2]基因升级!$E$141:$E$500,[2]基因升级!$D$141:$D$500)-1,AG486)</f>
        <v>106</v>
      </c>
      <c r="AH487" s="19">
        <v>8</v>
      </c>
      <c r="AI487" s="19">
        <f t="shared" si="220"/>
        <v>10.5142500606751</v>
      </c>
      <c r="AJ487" s="19">
        <f t="shared" si="232"/>
        <v>0</v>
      </c>
      <c r="AK487" s="269">
        <v>2.0368</v>
      </c>
      <c r="AL487" s="287">
        <f t="shared" si="241"/>
        <v>16.1999999999998</v>
      </c>
      <c r="AM487" s="287">
        <f t="shared" si="242"/>
        <v>12.5999999999999</v>
      </c>
      <c r="AN487" s="287">
        <f t="shared" si="203"/>
        <v>8.99999999999998</v>
      </c>
      <c r="AO487" s="287">
        <f t="shared" si="238"/>
        <v>5.4</v>
      </c>
      <c r="AP487" s="86"/>
      <c r="AQ487" s="19">
        <f t="shared" si="221"/>
        <v>2.99238313565818</v>
      </c>
      <c r="AR487" s="19">
        <f t="shared" si="222"/>
        <v>2.3455008724879</v>
      </c>
      <c r="AS487" s="19">
        <f t="shared" si="223"/>
        <v>1.83845921242015</v>
      </c>
      <c r="AT487" s="19">
        <f t="shared" si="224"/>
        <v>1.44102793368283</v>
      </c>
      <c r="AU487" s="19">
        <f t="shared" si="225"/>
        <v>1</v>
      </c>
      <c r="AV487" s="232">
        <f t="shared" si="205"/>
        <v>0.0399999999999991</v>
      </c>
      <c r="AW487" s="232">
        <f t="shared" si="206"/>
        <v>0.0399999999999991</v>
      </c>
      <c r="AX487" s="232">
        <f t="shared" si="207"/>
        <v>0.0399999999999991</v>
      </c>
      <c r="AY487" s="232">
        <f t="shared" si="208"/>
        <v>0.04</v>
      </c>
      <c r="AZ487" s="232">
        <f t="shared" si="209"/>
        <v>0</v>
      </c>
    </row>
    <row r="488" spans="1:52">
      <c r="A488" s="269"/>
      <c r="C488" s="19">
        <v>365</v>
      </c>
      <c r="D488" s="86">
        <f ca="1" t="shared" si="233"/>
        <v>237.970337483876</v>
      </c>
      <c r="E488" s="251">
        <f ca="1" t="shared" si="210"/>
        <v>0.346707030002109</v>
      </c>
      <c r="F488" s="269">
        <f ca="1" t="shared" si="226"/>
        <v>462.334896124465</v>
      </c>
      <c r="G488" s="283">
        <f ca="1" t="shared" si="227"/>
        <v>160.294758701647</v>
      </c>
      <c r="H488" s="279">
        <f ca="1" t="shared" si="228"/>
        <v>0.213888298916373</v>
      </c>
      <c r="I488" s="269">
        <f ca="1">SUM($J$125:J488)/SUM($H$125:H488)</f>
        <v>0.505275783357875</v>
      </c>
      <c r="J488" s="284">
        <f t="shared" si="234"/>
        <v>0.0653435661998714</v>
      </c>
      <c r="K488" s="19">
        <f t="shared" si="236"/>
        <v>37400</v>
      </c>
      <c r="L488" s="269">
        <f t="shared" si="229"/>
        <v>2.86999999999996</v>
      </c>
      <c r="M488" s="226">
        <f ca="1" t="shared" si="230"/>
        <v>211.2</v>
      </c>
      <c r="N488" s="280">
        <f ca="1" t="shared" si="235"/>
        <v>0.148544732716474</v>
      </c>
      <c r="O488" s="226">
        <f t="shared" si="240"/>
        <v>105.6</v>
      </c>
      <c r="P488" s="19">
        <f ca="1" t="shared" si="204"/>
        <v>11</v>
      </c>
      <c r="Q488" s="226">
        <f ca="1" t="shared" si="239"/>
        <v>2</v>
      </c>
      <c r="R488" s="269">
        <f ca="1" t="shared" si="211"/>
        <v>0.778988611493321</v>
      </c>
      <c r="S488" s="266">
        <f ca="1" t="shared" si="212"/>
        <v>73.1819953079532</v>
      </c>
      <c r="T488" s="226">
        <f ca="1">(1+OFFSET('玩法产出(新)'!$C$18,MATCH(X488,'玩法产出(新)'!$B$19:$B$25,0),1)*(1-V488)+OFFSET('玩法产出(新)'!$C$18,1+MATCH(X488,'玩法产出(新)'!$B$19:$B$25,0),1)*(V488))^AA488*(1+OFFSET('玩法产出(新)'!$C$18,MATCH(X488,'玩法产出(新)'!$B$19:$B$25,0),3)*(1-V488)+OFFSET('玩法产出(新)'!$C$18,1+MATCH(X488,'玩法产出(新)'!$B$19:$B$25,0),3)*(V488))^AB488*(1+OFFSET('玩法产出(新)'!$C$18,MATCH(X488,'玩法产出(新)'!$B$19:$B$25,0),4)*(1-V488)+OFFSET('玩法产出(新)'!$C$18,1+MATCH(X488,'玩法产出(新)'!$B$19:$B$25,0),4)*(V488))^AC488*(1+OFFSET('玩法产出(新)'!$C$18,MATCH(X488,'玩法产出(新)'!$B$19:$B$25,0),5)*(1+V488)+OFFSET('玩法产出(新)'!$C$18,1+MATCH(X488,'玩法产出(新)'!$B$19:$B$25,5),1)*(V488))^AD488*(1+OFFSET('玩法产出(新)'!$C$18,MATCH(X488,'玩法产出(新)'!$B$19:$B$25,0),6)*(1+V488)+OFFSET('玩法产出(新)'!$C$18,1+MATCH(X488,'玩法产出(新)'!$B$19:$B$25,0),6)*(V488))^AE488</f>
        <v>141.37202560264</v>
      </c>
      <c r="U488" s="226">
        <f ca="1" t="shared" si="231"/>
        <v>0.132818731085764</v>
      </c>
      <c r="V488" s="226">
        <f ca="1">COUNTIF($X$124:$X488,X488)/(COUNTIF($X$124:$X$723,X488)+1)</f>
        <v>0.51340206185567</v>
      </c>
      <c r="W488" s="19">
        <v>30</v>
      </c>
      <c r="X488" s="19" t="s">
        <v>326</v>
      </c>
      <c r="Y488" s="19">
        <f t="shared" si="237"/>
        <v>37660</v>
      </c>
      <c r="Z488" s="19">
        <f ca="1" t="shared" si="213"/>
        <v>0.332234346649485</v>
      </c>
      <c r="AA488" s="282">
        <f ca="1" t="shared" si="214"/>
        <v>1.840265625</v>
      </c>
      <c r="AB488" s="282">
        <f ca="1" t="shared" si="215"/>
        <v>18</v>
      </c>
      <c r="AC488" s="282">
        <f ca="1" t="shared" si="216"/>
        <v>7.74075</v>
      </c>
      <c r="AD488" s="282">
        <f ca="1" t="shared" si="217"/>
        <v>1.9351875</v>
      </c>
      <c r="AE488" s="282">
        <f ca="1" t="shared" si="218"/>
        <v>0.483796875</v>
      </c>
      <c r="AF488" s="19" t="str">
        <f t="shared" si="219"/>
        <v>彩3</v>
      </c>
      <c r="AG488" s="19">
        <f>IFERROR(_xlfn.XLOOKUP(C488+1,[2]基因升级!$E$141:$E$500,[2]基因升级!$D$141:$D$500)-1,AG487)</f>
        <v>106</v>
      </c>
      <c r="AH488" s="19">
        <v>8</v>
      </c>
      <c r="AI488" s="19">
        <f t="shared" si="220"/>
        <v>10.5142500606751</v>
      </c>
      <c r="AJ488" s="19">
        <f t="shared" si="232"/>
        <v>0</v>
      </c>
      <c r="AK488" s="269">
        <v>2.0368</v>
      </c>
      <c r="AL488" s="287">
        <f t="shared" si="241"/>
        <v>16.2399999999998</v>
      </c>
      <c r="AM488" s="287">
        <f t="shared" si="242"/>
        <v>12.6399999999999</v>
      </c>
      <c r="AN488" s="287">
        <f t="shared" si="203"/>
        <v>9.03999999999998</v>
      </c>
      <c r="AO488" s="287">
        <f t="shared" si="238"/>
        <v>5.44</v>
      </c>
      <c r="AP488" s="86"/>
      <c r="AQ488" s="19">
        <f t="shared" si="221"/>
        <v>3.00049252806612</v>
      </c>
      <c r="AR488" s="19">
        <f t="shared" si="222"/>
        <v>2.35185720658881</v>
      </c>
      <c r="AS488" s="19">
        <f t="shared" si="223"/>
        <v>1.84344145784249</v>
      </c>
      <c r="AT488" s="19">
        <f t="shared" si="224"/>
        <v>1.44493313580946</v>
      </c>
      <c r="AU488" s="19">
        <f t="shared" si="225"/>
        <v>1</v>
      </c>
      <c r="AV488" s="232">
        <f t="shared" si="205"/>
        <v>0.0399999999999991</v>
      </c>
      <c r="AW488" s="232">
        <f t="shared" si="206"/>
        <v>0.0399999999999991</v>
      </c>
      <c r="AX488" s="232">
        <f t="shared" si="207"/>
        <v>0.0399999999999991</v>
      </c>
      <c r="AY488" s="232">
        <f t="shared" si="208"/>
        <v>0.04</v>
      </c>
      <c r="AZ488" s="232">
        <f t="shared" si="209"/>
        <v>0</v>
      </c>
    </row>
    <row r="489" spans="1:52">
      <c r="A489" s="269"/>
      <c r="C489" s="19">
        <v>366</v>
      </c>
      <c r="D489" s="86">
        <f ca="1" t="shared" si="233"/>
        <v>238.315553040422</v>
      </c>
      <c r="E489" s="251">
        <f ca="1" t="shared" si="210"/>
        <v>0.345215556546923</v>
      </c>
      <c r="F489" s="269">
        <f ca="1" t="shared" si="226"/>
        <v>464.947234705049</v>
      </c>
      <c r="G489" s="283">
        <f ca="1" t="shared" si="227"/>
        <v>160.507018393656</v>
      </c>
      <c r="H489" s="279">
        <f ca="1" t="shared" si="228"/>
        <v>0.212259692009525</v>
      </c>
      <c r="I489" s="269">
        <f ca="1">SUM($J$125:J489)/SUM($H$125:H489)</f>
        <v>0.50499635026727</v>
      </c>
      <c r="J489" s="284">
        <f t="shared" si="234"/>
        <v>0.0651930408478592</v>
      </c>
      <c r="K489" s="19">
        <f t="shared" si="236"/>
        <v>37500</v>
      </c>
      <c r="L489" s="269">
        <f t="shared" si="229"/>
        <v>2.87499999999996</v>
      </c>
      <c r="M489" s="226">
        <f ca="1" t="shared" si="230"/>
        <v>213.312</v>
      </c>
      <c r="N489" s="280">
        <f ca="1" t="shared" si="235"/>
        <v>0.147066651161666</v>
      </c>
      <c r="O489" s="226">
        <f t="shared" si="240"/>
        <v>105.6</v>
      </c>
      <c r="P489" s="19">
        <f ca="1" t="shared" si="204"/>
        <v>11.2</v>
      </c>
      <c r="Q489" s="226">
        <f ca="1" t="shared" si="239"/>
        <v>2.02</v>
      </c>
      <c r="R489" s="269">
        <f ca="1" t="shared" si="211"/>
        <v>0.78040386539382</v>
      </c>
      <c r="S489" s="266">
        <f ca="1" t="shared" si="212"/>
        <v>73.3149511724906</v>
      </c>
      <c r="T489" s="226">
        <f ca="1">(1+OFFSET('玩法产出(新)'!$C$18,MATCH(X489,'玩法产出(新)'!$B$19:$B$25,0),1)*(1-V489)+OFFSET('玩法产出(新)'!$C$18,1+MATCH(X489,'玩法产出(新)'!$B$19:$B$25,0),1)*(V489))^AA489*(1+OFFSET('玩法产出(新)'!$C$18,MATCH(X489,'玩法产出(新)'!$B$19:$B$25,0),3)*(1-V489)+OFFSET('玩法产出(新)'!$C$18,1+MATCH(X489,'玩法产出(新)'!$B$19:$B$25,0),3)*(V489))^AB489*(1+OFFSET('玩法产出(新)'!$C$18,MATCH(X489,'玩法产出(新)'!$B$19:$B$25,0),4)*(1-V489)+OFFSET('玩法产出(新)'!$C$18,1+MATCH(X489,'玩法产出(新)'!$B$19:$B$25,0),4)*(V489))^AC489*(1+OFFSET('玩法产出(新)'!$C$18,MATCH(X489,'玩法产出(新)'!$B$19:$B$25,0),5)*(1+V489)+OFFSET('玩法产出(新)'!$C$18,1+MATCH(X489,'玩法产出(新)'!$B$19:$B$25,5),1)*(V489))^AD489*(1+OFFSET('玩法产出(新)'!$C$18,MATCH(X489,'玩法产出(新)'!$B$19:$B$25,0),6)*(1+V489)+OFFSET('玩法产出(新)'!$C$18,1+MATCH(X489,'玩法产出(新)'!$B$19:$B$25,0),6)*(V489))^AE489</f>
        <v>142.649490967926</v>
      </c>
      <c r="U489" s="226">
        <f ca="1" t="shared" si="231"/>
        <v>0.132955864537398</v>
      </c>
      <c r="V489" s="226">
        <f ca="1">COUNTIF($X$124:$X489,X489)/(COUNTIF($X$124:$X$723,X489)+1)</f>
        <v>0.515463917525773</v>
      </c>
      <c r="W489" s="19">
        <v>30</v>
      </c>
      <c r="X489" s="19" t="s">
        <v>326</v>
      </c>
      <c r="Y489" s="19">
        <f t="shared" si="237"/>
        <v>37760</v>
      </c>
      <c r="Z489" s="19">
        <f ca="1" t="shared" si="213"/>
        <v>0.327443381443299</v>
      </c>
      <c r="AA489" s="282">
        <f ca="1" t="shared" si="214"/>
        <v>1.8129</v>
      </c>
      <c r="AB489" s="282">
        <f ca="1" t="shared" si="215"/>
        <v>18</v>
      </c>
      <c r="AC489" s="282">
        <f ca="1" t="shared" si="216"/>
        <v>7.7616</v>
      </c>
      <c r="AD489" s="282">
        <f ca="1" t="shared" si="217"/>
        <v>1.9404</v>
      </c>
      <c r="AE489" s="282">
        <f ca="1" t="shared" si="218"/>
        <v>0.4851</v>
      </c>
      <c r="AF489" s="19" t="str">
        <f t="shared" si="219"/>
        <v>彩3</v>
      </c>
      <c r="AG489" s="19">
        <f>IFERROR(_xlfn.XLOOKUP(C489+1,[2]基因升级!$E$141:$E$500,[2]基因升级!$D$141:$D$500)-1,AG488)</f>
        <v>106</v>
      </c>
      <c r="AH489" s="19">
        <v>8</v>
      </c>
      <c r="AI489" s="19">
        <f t="shared" si="220"/>
        <v>10.5142500606751</v>
      </c>
      <c r="AJ489" s="19">
        <f t="shared" si="232"/>
        <v>0</v>
      </c>
      <c r="AK489" s="269">
        <v>2.0368</v>
      </c>
      <c r="AL489" s="287">
        <f t="shared" si="241"/>
        <v>16.2799999999998</v>
      </c>
      <c r="AM489" s="287">
        <f t="shared" si="242"/>
        <v>12.6799999999999</v>
      </c>
      <c r="AN489" s="287">
        <f t="shared" si="203"/>
        <v>9.07999999999998</v>
      </c>
      <c r="AO489" s="287">
        <f t="shared" si="238"/>
        <v>5.48</v>
      </c>
      <c r="AP489" s="86"/>
      <c r="AQ489" s="19">
        <f t="shared" si="221"/>
        <v>3.00862389701993</v>
      </c>
      <c r="AR489" s="19">
        <f t="shared" si="222"/>
        <v>2.35823076642759</v>
      </c>
      <c r="AS489" s="19">
        <f t="shared" si="223"/>
        <v>1.84843720520672</v>
      </c>
      <c r="AT489" s="19">
        <f t="shared" si="224"/>
        <v>1.44884892107836</v>
      </c>
      <c r="AU489" s="19">
        <f t="shared" si="225"/>
        <v>1</v>
      </c>
      <c r="AV489" s="232">
        <f t="shared" si="205"/>
        <v>0.0399999999999991</v>
      </c>
      <c r="AW489" s="232">
        <f t="shared" si="206"/>
        <v>0.0399999999999991</v>
      </c>
      <c r="AX489" s="232">
        <f t="shared" si="207"/>
        <v>0.0399999999999991</v>
      </c>
      <c r="AY489" s="232">
        <f t="shared" si="208"/>
        <v>0.04</v>
      </c>
      <c r="AZ489" s="232">
        <f t="shared" si="209"/>
        <v>0</v>
      </c>
    </row>
    <row r="490" spans="1:52">
      <c r="A490" s="269"/>
      <c r="C490" s="19">
        <v>367</v>
      </c>
      <c r="D490" s="86">
        <f ca="1" t="shared" si="233"/>
        <v>238.659306889637</v>
      </c>
      <c r="E490" s="251">
        <f ca="1" t="shared" si="210"/>
        <v>0.34375384921458</v>
      </c>
      <c r="F490" s="269">
        <f ca="1" t="shared" si="226"/>
        <v>467.537104501216</v>
      </c>
      <c r="G490" s="283">
        <f ca="1" t="shared" si="227"/>
        <v>160.717679322932</v>
      </c>
      <c r="H490" s="279">
        <f ca="1" t="shared" si="228"/>
        <v>0.210660929275747</v>
      </c>
      <c r="I490" s="269">
        <f ca="1">SUM($J$125:J490)/SUM($H$125:H490)</f>
        <v>0.504722064155524</v>
      </c>
      <c r="J490" s="284">
        <f t="shared" si="234"/>
        <v>0.0650432341953575</v>
      </c>
      <c r="K490" s="19">
        <f t="shared" si="236"/>
        <v>37600</v>
      </c>
      <c r="L490" s="269">
        <f t="shared" si="229"/>
        <v>2.87999999999996</v>
      </c>
      <c r="M490" s="226">
        <f ca="1" t="shared" si="230"/>
        <v>215.424</v>
      </c>
      <c r="N490" s="280">
        <f ca="1" t="shared" si="235"/>
        <v>0.145617695080389</v>
      </c>
      <c r="O490" s="226">
        <f t="shared" si="240"/>
        <v>105.6</v>
      </c>
      <c r="P490" s="19">
        <f ca="1" t="shared" si="204"/>
        <v>11.4</v>
      </c>
      <c r="Q490" s="226">
        <f ca="1" t="shared" si="239"/>
        <v>2.04</v>
      </c>
      <c r="R490" s="269">
        <f ca="1" t="shared" si="211"/>
        <v>0.7818205781859</v>
      </c>
      <c r="S490" s="266">
        <f ca="1" t="shared" si="212"/>
        <v>73.4480440924295</v>
      </c>
      <c r="T490" s="226">
        <f ca="1">(1+OFFSET('玩法产出(新)'!$C$18,MATCH(X490,'玩法产出(新)'!$B$19:$B$25,0),1)*(1-V490)+OFFSET('玩法产出(新)'!$C$18,1+MATCH(X490,'玩法产出(新)'!$B$19:$B$25,0),1)*(V490))^AA490*(1+OFFSET('玩法产出(新)'!$C$18,MATCH(X490,'玩法产出(新)'!$B$19:$B$25,0),3)*(1-V490)+OFFSET('玩法产出(新)'!$C$18,1+MATCH(X490,'玩法产出(新)'!$B$19:$B$25,0),3)*(V490))^AB490*(1+OFFSET('玩法产出(新)'!$C$18,MATCH(X490,'玩法产出(新)'!$B$19:$B$25,0),4)*(1-V490)+OFFSET('玩法产出(新)'!$C$18,1+MATCH(X490,'玩法产出(新)'!$B$19:$B$25,0),4)*(V490))^AC490*(1+OFFSET('玩法产出(新)'!$C$18,MATCH(X490,'玩法产出(新)'!$B$19:$B$25,0),5)*(1+V490)+OFFSET('玩法产出(新)'!$C$18,1+MATCH(X490,'玩法产出(新)'!$B$19:$B$25,5),1)*(V490))^AD490*(1+OFFSET('玩法产出(新)'!$C$18,MATCH(X490,'玩法产出(新)'!$B$19:$B$25,0),6)*(1+V490)+OFFSET('玩法产出(新)'!$C$18,1+MATCH(X490,'玩法产出(新)'!$B$19:$B$25,0),6)*(V490))^AE490</f>
        <v>143.939834506416</v>
      </c>
      <c r="U490" s="226">
        <f ca="1" t="shared" si="231"/>
        <v>0.133092919938833</v>
      </c>
      <c r="V490" s="226">
        <f ca="1">COUNTIF($X$124:$X490,X490)/(COUNTIF($X$124:$X$723,X490)+1)</f>
        <v>0.517525773195876</v>
      </c>
      <c r="W490" s="19">
        <v>30</v>
      </c>
      <c r="X490" s="19" t="s">
        <v>326</v>
      </c>
      <c r="Y490" s="19">
        <f t="shared" si="237"/>
        <v>37860</v>
      </c>
      <c r="Z490" s="19">
        <f ca="1" t="shared" si="213"/>
        <v>0.322647902319588</v>
      </c>
      <c r="AA490" s="282">
        <f ca="1" t="shared" si="214"/>
        <v>1.785534375</v>
      </c>
      <c r="AB490" s="282">
        <f ca="1" t="shared" si="215"/>
        <v>18</v>
      </c>
      <c r="AC490" s="282">
        <f ca="1" t="shared" si="216"/>
        <v>7.78245</v>
      </c>
      <c r="AD490" s="282">
        <f ca="1" t="shared" si="217"/>
        <v>1.9456125</v>
      </c>
      <c r="AE490" s="282">
        <f ca="1" t="shared" si="218"/>
        <v>0.486403125</v>
      </c>
      <c r="AF490" s="19" t="str">
        <f t="shared" si="219"/>
        <v>彩3</v>
      </c>
      <c r="AG490" s="19">
        <f>IFERROR(_xlfn.XLOOKUP(C490+1,[2]基因升级!$E$141:$E$500,[2]基因升级!$D$141:$D$500)-1,AG489)</f>
        <v>106</v>
      </c>
      <c r="AH490" s="19">
        <v>8</v>
      </c>
      <c r="AI490" s="19">
        <f t="shared" si="220"/>
        <v>10.5142500606751</v>
      </c>
      <c r="AJ490" s="19">
        <f t="shared" si="232"/>
        <v>0</v>
      </c>
      <c r="AK490" s="269">
        <v>2.0368</v>
      </c>
      <c r="AL490" s="287">
        <f t="shared" si="241"/>
        <v>16.3199999999998</v>
      </c>
      <c r="AM490" s="287">
        <f t="shared" si="242"/>
        <v>12.7199999999999</v>
      </c>
      <c r="AN490" s="287">
        <f t="shared" si="203"/>
        <v>9.11999999999998</v>
      </c>
      <c r="AO490" s="287">
        <f t="shared" si="238"/>
        <v>5.52</v>
      </c>
      <c r="AP490" s="86"/>
      <c r="AQ490" s="19">
        <f t="shared" si="221"/>
        <v>3.01677730207629</v>
      </c>
      <c r="AR490" s="19">
        <f t="shared" si="222"/>
        <v>2.36462159868619</v>
      </c>
      <c r="AS490" s="19">
        <f t="shared" si="223"/>
        <v>1.85344649110324</v>
      </c>
      <c r="AT490" s="19">
        <f t="shared" si="224"/>
        <v>1.45277531816997</v>
      </c>
      <c r="AU490" s="19">
        <f t="shared" si="225"/>
        <v>1</v>
      </c>
      <c r="AV490" s="232">
        <f t="shared" si="205"/>
        <v>0.0399999999999991</v>
      </c>
      <c r="AW490" s="232">
        <f t="shared" si="206"/>
        <v>0.0399999999999991</v>
      </c>
      <c r="AX490" s="232">
        <f t="shared" si="207"/>
        <v>0.0399999999999991</v>
      </c>
      <c r="AY490" s="232">
        <f t="shared" si="208"/>
        <v>0.04</v>
      </c>
      <c r="AZ490" s="232">
        <f t="shared" si="209"/>
        <v>0</v>
      </c>
    </row>
    <row r="491" spans="1:52">
      <c r="A491" s="269"/>
      <c r="C491" s="19">
        <v>368</v>
      </c>
      <c r="D491" s="86">
        <f ca="1" t="shared" si="233"/>
        <v>239.001627939963</v>
      </c>
      <c r="E491" s="251">
        <f ca="1" t="shared" si="210"/>
        <v>0.342321050326217</v>
      </c>
      <c r="F491" s="269">
        <f ca="1" t="shared" si="226"/>
        <v>470.104804605254</v>
      </c>
      <c r="G491" s="283">
        <f ca="1" t="shared" si="227"/>
        <v>160.926770475871</v>
      </c>
      <c r="H491" s="279">
        <f ca="1" t="shared" si="228"/>
        <v>0.209091152939067</v>
      </c>
      <c r="I491" s="269">
        <f ca="1">SUM($J$125:J491)/SUM($H$125:H491)</f>
        <v>0.50445280259753</v>
      </c>
      <c r="J491" s="284">
        <f t="shared" si="234"/>
        <v>0.0648941409467341</v>
      </c>
      <c r="K491" s="19">
        <f t="shared" si="236"/>
        <v>37700</v>
      </c>
      <c r="L491" s="269">
        <f t="shared" si="229"/>
        <v>2.88499999999996</v>
      </c>
      <c r="M491" s="226">
        <f ca="1" t="shared" si="230"/>
        <v>217.536</v>
      </c>
      <c r="N491" s="280">
        <f ca="1" t="shared" si="235"/>
        <v>0.144197011992347</v>
      </c>
      <c r="O491" s="226">
        <f t="shared" si="240"/>
        <v>105.6</v>
      </c>
      <c r="P491" s="19">
        <f ca="1" t="shared" si="204"/>
        <v>11.6</v>
      </c>
      <c r="Q491" s="226">
        <f ca="1" t="shared" si="239"/>
        <v>2.06</v>
      </c>
      <c r="R491" s="269">
        <f ca="1" t="shared" si="211"/>
        <v>0.783238749039787</v>
      </c>
      <c r="S491" s="266">
        <f ca="1" t="shared" si="212"/>
        <v>73.5812739898166</v>
      </c>
      <c r="T491" s="226">
        <f ca="1">(1+OFFSET('玩法产出(新)'!$C$18,MATCH(X491,'玩法产出(新)'!$B$19:$B$25,0),1)*(1-V491)+OFFSET('玩法产出(新)'!$C$18,1+MATCH(X491,'玩法产出(新)'!$B$19:$B$25,0),1)*(V491))^AA491*(1+OFFSET('玩法产出(新)'!$C$18,MATCH(X491,'玩法产出(新)'!$B$19:$B$25,0),3)*(1-V491)+OFFSET('玩法产出(新)'!$C$18,1+MATCH(X491,'玩法产出(新)'!$B$19:$B$25,0),3)*(V491))^AB491*(1+OFFSET('玩法产出(新)'!$C$18,MATCH(X491,'玩法产出(新)'!$B$19:$B$25,0),4)*(1-V491)+OFFSET('玩法产出(新)'!$C$18,1+MATCH(X491,'玩法产出(新)'!$B$19:$B$25,0),4)*(V491))^AC491*(1+OFFSET('玩法产出(新)'!$C$18,MATCH(X491,'玩法产出(新)'!$B$19:$B$25,0),5)*(1+V491)+OFFSET('玩法产出(新)'!$C$18,1+MATCH(X491,'玩法产出(新)'!$B$19:$B$25,5),1)*(V491))^AD491*(1+OFFSET('玩法产出(新)'!$C$18,MATCH(X491,'玩法产出(新)'!$B$19:$B$25,0),6)*(1+V491)+OFFSET('玩法产出(新)'!$C$18,1+MATCH(X491,'玩法产出(新)'!$B$19:$B$25,0),6)*(V491))^AE491</f>
        <v>145.243195981281</v>
      </c>
      <c r="U491" s="226">
        <f ca="1" t="shared" si="231"/>
        <v>0.133229897387136</v>
      </c>
      <c r="V491" s="226">
        <f ca="1">COUNTIF($X$124:$X491,X491)/(COUNTIF($X$124:$X$723,X491)+1)</f>
        <v>0.519587628865979</v>
      </c>
      <c r="W491" s="19">
        <v>30</v>
      </c>
      <c r="X491" s="19" t="s">
        <v>326</v>
      </c>
      <c r="Y491" s="19">
        <f t="shared" si="237"/>
        <v>37960</v>
      </c>
      <c r="Z491" s="19">
        <f ca="1" t="shared" si="213"/>
        <v>0.31784790927835</v>
      </c>
      <c r="AA491" s="282">
        <f ca="1" t="shared" si="214"/>
        <v>1.75816875</v>
      </c>
      <c r="AB491" s="282">
        <f ca="1" t="shared" si="215"/>
        <v>18</v>
      </c>
      <c r="AC491" s="282">
        <f ca="1" t="shared" si="216"/>
        <v>7.8033</v>
      </c>
      <c r="AD491" s="282">
        <f ca="1" t="shared" si="217"/>
        <v>1.950825</v>
      </c>
      <c r="AE491" s="282">
        <f ca="1" t="shared" si="218"/>
        <v>0.48770625</v>
      </c>
      <c r="AF491" s="19" t="str">
        <f t="shared" si="219"/>
        <v>彩3</v>
      </c>
      <c r="AG491" s="19">
        <f>IFERROR(_xlfn.XLOOKUP(C491+1,[2]基因升级!$E$141:$E$500,[2]基因升级!$D$141:$D$500)-1,AG490)</f>
        <v>106</v>
      </c>
      <c r="AH491" s="19">
        <v>8</v>
      </c>
      <c r="AI491" s="19">
        <f t="shared" si="220"/>
        <v>10.5142500606751</v>
      </c>
      <c r="AJ491" s="19">
        <f t="shared" si="232"/>
        <v>0</v>
      </c>
      <c r="AK491" s="269">
        <v>2.0368</v>
      </c>
      <c r="AL491" s="287">
        <f t="shared" si="241"/>
        <v>16.3599999999998</v>
      </c>
      <c r="AM491" s="287">
        <f t="shared" si="242"/>
        <v>12.7599999999999</v>
      </c>
      <c r="AN491" s="287">
        <f t="shared" ref="AN491:AN554" si="243">AM401</f>
        <v>9.15999999999998</v>
      </c>
      <c r="AO491" s="287">
        <f t="shared" si="238"/>
        <v>5.56</v>
      </c>
      <c r="AP491" s="86"/>
      <c r="AQ491" s="19">
        <f t="shared" si="221"/>
        <v>3.0249528029533</v>
      </c>
      <c r="AR491" s="19">
        <f t="shared" si="222"/>
        <v>2.37102975017305</v>
      </c>
      <c r="AS491" s="19">
        <f t="shared" si="223"/>
        <v>1.85846935222165</v>
      </c>
      <c r="AT491" s="19">
        <f t="shared" si="224"/>
        <v>1.45671235584247</v>
      </c>
      <c r="AU491" s="19">
        <f t="shared" si="225"/>
        <v>1</v>
      </c>
      <c r="AV491" s="232">
        <f t="shared" si="205"/>
        <v>0.0399999999999991</v>
      </c>
      <c r="AW491" s="232">
        <f t="shared" si="206"/>
        <v>0.0399999999999991</v>
      </c>
      <c r="AX491" s="232">
        <f t="shared" si="207"/>
        <v>0.0399999999999991</v>
      </c>
      <c r="AY491" s="232">
        <f t="shared" si="208"/>
        <v>0.04</v>
      </c>
      <c r="AZ491" s="232">
        <f t="shared" si="209"/>
        <v>0</v>
      </c>
    </row>
    <row r="492" spans="1:52">
      <c r="A492" s="269"/>
      <c r="C492" s="19">
        <v>369</v>
      </c>
      <c r="D492" s="86">
        <f ca="1" t="shared" si="233"/>
        <v>239.342544275166</v>
      </c>
      <c r="E492" s="251">
        <f ca="1" t="shared" si="210"/>
        <v>0.340916335202896</v>
      </c>
      <c r="F492" s="269">
        <f ca="1" t="shared" si="226"/>
        <v>472.650628249292</v>
      </c>
      <c r="G492" s="283">
        <f ca="1" t="shared" si="227"/>
        <v>161.134320014095</v>
      </c>
      <c r="H492" s="279">
        <f ca="1" t="shared" si="228"/>
        <v>0.207549538223901</v>
      </c>
      <c r="I492" s="269">
        <f ca="1">SUM($J$125:J492)/SUM($H$125:H492)</f>
        <v>0.504188447086671</v>
      </c>
      <c r="J492" s="284">
        <f t="shared" si="234"/>
        <v>0.0647457558592635</v>
      </c>
      <c r="K492" s="19">
        <f t="shared" si="236"/>
        <v>37800</v>
      </c>
      <c r="L492" s="269">
        <f t="shared" si="229"/>
        <v>2.88999999999996</v>
      </c>
      <c r="M492" s="226">
        <f ca="1" t="shared" si="230"/>
        <v>219.648</v>
      </c>
      <c r="N492" s="280">
        <f ca="1" t="shared" si="235"/>
        <v>0.142803782364595</v>
      </c>
      <c r="O492" s="226">
        <f t="shared" si="240"/>
        <v>105.6</v>
      </c>
      <c r="P492" s="19">
        <f ca="1" t="shared" si="204"/>
        <v>11.8</v>
      </c>
      <c r="Q492" s="226">
        <f ca="1" t="shared" si="239"/>
        <v>2.08</v>
      </c>
      <c r="R492" s="269">
        <f ca="1" t="shared" si="211"/>
        <v>0.784658377126734</v>
      </c>
      <c r="S492" s="266">
        <f ca="1" t="shared" si="212"/>
        <v>73.7146407867956</v>
      </c>
      <c r="T492" s="226">
        <f ca="1">(1+OFFSET('玩法产出(新)'!$C$18,MATCH(X492,'玩法产出(新)'!$B$19:$B$25,0),1)*(1-V492)+OFFSET('玩法产出(新)'!$C$18,1+MATCH(X492,'玩法产出(新)'!$B$19:$B$25,0),1)*(V492))^AA492*(1+OFFSET('玩法产出(新)'!$C$18,MATCH(X492,'玩法产出(新)'!$B$19:$B$25,0),3)*(1-V492)+OFFSET('玩法产出(新)'!$C$18,1+MATCH(X492,'玩法产出(新)'!$B$19:$B$25,0),3)*(V492))^AB492*(1+OFFSET('玩法产出(新)'!$C$18,MATCH(X492,'玩法产出(新)'!$B$19:$B$25,0),4)*(1-V492)+OFFSET('玩法产出(新)'!$C$18,1+MATCH(X492,'玩法产出(新)'!$B$19:$B$25,0),4)*(V492))^AC492*(1+OFFSET('玩法产出(新)'!$C$18,MATCH(X492,'玩法产出(新)'!$B$19:$B$25,0),5)*(1+V492)+OFFSET('玩法产出(新)'!$C$18,1+MATCH(X492,'玩法产出(新)'!$B$19:$B$25,5),1)*(V492))^AD492*(1+OFFSET('玩法产出(新)'!$C$18,MATCH(X492,'玩法产出(新)'!$B$19:$B$25,0),6)*(1+V492)+OFFSET('玩法产出(新)'!$C$18,1+MATCH(X492,'玩法产出(新)'!$B$19:$B$25,0),6)*(V492))^AE492</f>
        <v>146.559716764503</v>
      </c>
      <c r="U492" s="226">
        <f ca="1" t="shared" si="231"/>
        <v>0.133366796979037</v>
      </c>
      <c r="V492" s="226">
        <f ca="1">COUNTIF($X$124:$X492,X492)/(COUNTIF($X$124:$X$723,X492)+1)</f>
        <v>0.521649484536083</v>
      </c>
      <c r="W492" s="19">
        <v>30</v>
      </c>
      <c r="X492" s="19" t="s">
        <v>326</v>
      </c>
      <c r="Y492" s="19">
        <f t="shared" si="237"/>
        <v>38060</v>
      </c>
      <c r="Z492" s="19">
        <f ca="1" t="shared" si="213"/>
        <v>0.313043402319588</v>
      </c>
      <c r="AA492" s="282">
        <f ca="1" t="shared" si="214"/>
        <v>1.730803125</v>
      </c>
      <c r="AB492" s="282">
        <f ca="1" t="shared" si="215"/>
        <v>18</v>
      </c>
      <c r="AC492" s="282">
        <f ca="1" t="shared" si="216"/>
        <v>7.82415</v>
      </c>
      <c r="AD492" s="282">
        <f ca="1" t="shared" si="217"/>
        <v>1.9560375</v>
      </c>
      <c r="AE492" s="282">
        <f ca="1" t="shared" si="218"/>
        <v>0.489009375</v>
      </c>
      <c r="AF492" s="19" t="str">
        <f t="shared" si="219"/>
        <v>彩3</v>
      </c>
      <c r="AG492" s="19">
        <f>IFERROR(_xlfn.XLOOKUP(C492+1,[2]基因升级!$E$141:$E$500,[2]基因升级!$D$141:$D$500)-1,AG491)</f>
        <v>106</v>
      </c>
      <c r="AH492" s="19">
        <v>8</v>
      </c>
      <c r="AI492" s="19">
        <f t="shared" si="220"/>
        <v>10.5142500606751</v>
      </c>
      <c r="AJ492" s="19">
        <f t="shared" si="232"/>
        <v>0</v>
      </c>
      <c r="AK492" s="269">
        <v>2.0368</v>
      </c>
      <c r="AL492" s="287">
        <f t="shared" si="241"/>
        <v>16.3999999999998</v>
      </c>
      <c r="AM492" s="287">
        <f t="shared" si="242"/>
        <v>12.7999999999999</v>
      </c>
      <c r="AN492" s="287">
        <f t="shared" si="243"/>
        <v>9.19999999999997</v>
      </c>
      <c r="AO492" s="287">
        <f t="shared" si="238"/>
        <v>5.6</v>
      </c>
      <c r="AP492" s="86"/>
      <c r="AQ492" s="19">
        <f t="shared" si="221"/>
        <v>3.03315045953087</v>
      </c>
      <c r="AR492" s="19">
        <f t="shared" si="222"/>
        <v>2.3774552678235</v>
      </c>
      <c r="AS492" s="19">
        <f t="shared" si="223"/>
        <v>1.86350582535095</v>
      </c>
      <c r="AT492" s="19">
        <f t="shared" si="224"/>
        <v>1.46066006293193</v>
      </c>
      <c r="AU492" s="19">
        <f t="shared" si="225"/>
        <v>1</v>
      </c>
      <c r="AV492" s="232">
        <f t="shared" si="205"/>
        <v>0.0399999999999991</v>
      </c>
      <c r="AW492" s="232">
        <f t="shared" si="206"/>
        <v>0.0399999999999991</v>
      </c>
      <c r="AX492" s="232">
        <f t="shared" si="207"/>
        <v>0.0399999999999991</v>
      </c>
      <c r="AY492" s="232">
        <f t="shared" si="208"/>
        <v>0.04</v>
      </c>
      <c r="AZ492" s="232">
        <f t="shared" si="209"/>
        <v>0</v>
      </c>
    </row>
    <row r="493" spans="1:52">
      <c r="A493" s="269"/>
      <c r="C493" s="19">
        <v>370</v>
      </c>
      <c r="D493" s="86">
        <f ca="1" t="shared" si="233"/>
        <v>239.682083185755</v>
      </c>
      <c r="E493" s="251">
        <f ca="1" t="shared" si="210"/>
        <v>0.339538910589295</v>
      </c>
      <c r="F493" s="269">
        <f ca="1" t="shared" si="226"/>
        <v>475.174862951215</v>
      </c>
      <c r="G493" s="283">
        <f ca="1" t="shared" si="227"/>
        <v>161.340355305873</v>
      </c>
      <c r="H493" s="279">
        <f ca="1" t="shared" si="228"/>
        <v>0.206035291777994</v>
      </c>
      <c r="I493" s="269">
        <f ca="1">SUM($J$125:J493)/SUM($H$125:H493)</f>
        <v>0.503928882874705</v>
      </c>
      <c r="J493" s="284">
        <f t="shared" si="234"/>
        <v>0.0645980737429142</v>
      </c>
      <c r="K493" s="19">
        <f t="shared" si="236"/>
        <v>37900</v>
      </c>
      <c r="L493" s="269">
        <f t="shared" si="229"/>
        <v>2.89499999999996</v>
      </c>
      <c r="M493" s="226">
        <f ca="1" t="shared" si="230"/>
        <v>221.76</v>
      </c>
      <c r="N493" s="280">
        <f ca="1" t="shared" si="235"/>
        <v>0.141437218035094</v>
      </c>
      <c r="O493" s="226">
        <f t="shared" si="240"/>
        <v>105.6</v>
      </c>
      <c r="P493" s="19">
        <f ca="1" t="shared" si="204"/>
        <v>12</v>
      </c>
      <c r="Q493" s="226">
        <f ca="1" t="shared" si="239"/>
        <v>2.1</v>
      </c>
      <c r="R493" s="269">
        <f ca="1" t="shared" si="211"/>
        <v>0.786079461619026</v>
      </c>
      <c r="S493" s="266">
        <f ca="1" t="shared" si="212"/>
        <v>73.8481444056069</v>
      </c>
      <c r="T493" s="226">
        <f ca="1">(1+OFFSET('玩法产出(新)'!$C$18,MATCH(X493,'玩法产出(新)'!$B$19:$B$25,0),1)*(1-V493)+OFFSET('玩法产出(新)'!$C$18,1+MATCH(X493,'玩法产出(新)'!$B$19:$B$25,0),1)*(V493))^AA493*(1+OFFSET('玩法产出(新)'!$C$18,MATCH(X493,'玩法产出(新)'!$B$19:$B$25,0),3)*(1-V493)+OFFSET('玩法产出(新)'!$C$18,1+MATCH(X493,'玩法产出(新)'!$B$19:$B$25,0),3)*(V493))^AB493*(1+OFFSET('玩法产出(新)'!$C$18,MATCH(X493,'玩法产出(新)'!$B$19:$B$25,0),4)*(1-V493)+OFFSET('玩法产出(新)'!$C$18,1+MATCH(X493,'玩法产出(新)'!$B$19:$B$25,0),4)*(V493))^AC493*(1+OFFSET('玩法产出(新)'!$C$18,MATCH(X493,'玩法产出(新)'!$B$19:$B$25,0),5)*(1+V493)+OFFSET('玩法产出(新)'!$C$18,1+MATCH(X493,'玩法产出(新)'!$B$19:$B$25,5),1)*(V493))^AD493*(1+OFFSET('玩法产出(新)'!$C$18,MATCH(X493,'玩法产出(新)'!$B$19:$B$25,0),6)*(1+V493)+OFFSET('玩法产出(新)'!$C$18,1+MATCH(X493,'玩法产出(新)'!$B$19:$B$25,0),6)*(V493))^AE493</f>
        <v>147.889539856332</v>
      </c>
      <c r="U493" s="226">
        <f ca="1" t="shared" si="231"/>
        <v>0.133503618811287</v>
      </c>
      <c r="V493" s="226">
        <f ca="1">COUNTIF($X$124:$X493,X493)/(COUNTIF($X$124:$X$723,X493)+1)</f>
        <v>0.523711340206186</v>
      </c>
      <c r="W493" s="19">
        <v>30</v>
      </c>
      <c r="X493" s="19" t="s">
        <v>326</v>
      </c>
      <c r="Y493" s="19">
        <f t="shared" si="237"/>
        <v>38160</v>
      </c>
      <c r="Z493" s="19">
        <f ca="1" t="shared" si="213"/>
        <v>0.308234381443299</v>
      </c>
      <c r="AA493" s="282">
        <f ca="1" t="shared" si="214"/>
        <v>1.7034375</v>
      </c>
      <c r="AB493" s="282">
        <f ca="1" t="shared" si="215"/>
        <v>18</v>
      </c>
      <c r="AC493" s="282">
        <f ca="1" t="shared" si="216"/>
        <v>7.845</v>
      </c>
      <c r="AD493" s="282">
        <f ca="1" t="shared" si="217"/>
        <v>1.96125</v>
      </c>
      <c r="AE493" s="282">
        <f ca="1" t="shared" si="218"/>
        <v>0.4903125</v>
      </c>
      <c r="AF493" s="19" t="str">
        <f t="shared" si="219"/>
        <v>彩3</v>
      </c>
      <c r="AG493" s="19">
        <f>IFERROR(_xlfn.XLOOKUP(C493+1,[2]基因升级!$E$141:$E$500,[2]基因升级!$D$141:$D$500)-1,AG492)</f>
        <v>106</v>
      </c>
      <c r="AH493" s="19">
        <v>8</v>
      </c>
      <c r="AI493" s="19">
        <f t="shared" si="220"/>
        <v>10.5142500606751</v>
      </c>
      <c r="AJ493" s="19">
        <f t="shared" si="232"/>
        <v>0</v>
      </c>
      <c r="AK493" s="269">
        <v>2.0368</v>
      </c>
      <c r="AL493" s="287">
        <f t="shared" si="241"/>
        <v>16.4399999999998</v>
      </c>
      <c r="AM493" s="287">
        <f t="shared" si="242"/>
        <v>12.8399999999999</v>
      </c>
      <c r="AN493" s="287">
        <f t="shared" si="243"/>
        <v>9.23999999999997</v>
      </c>
      <c r="AO493" s="287">
        <f t="shared" si="238"/>
        <v>5.64</v>
      </c>
      <c r="AP493" s="86"/>
      <c r="AQ493" s="19">
        <f t="shared" si="221"/>
        <v>3.04137033185122</v>
      </c>
      <c r="AR493" s="19">
        <f t="shared" si="222"/>
        <v>2.38389819870002</v>
      </c>
      <c r="AS493" s="19">
        <f t="shared" si="223"/>
        <v>1.86855594737984</v>
      </c>
      <c r="AT493" s="19">
        <f t="shared" si="224"/>
        <v>1.4646184683526</v>
      </c>
      <c r="AU493" s="19">
        <f t="shared" si="225"/>
        <v>1</v>
      </c>
      <c r="AV493" s="232">
        <f t="shared" si="205"/>
        <v>0.0399999999999991</v>
      </c>
      <c r="AW493" s="232">
        <f t="shared" si="206"/>
        <v>0.0399999999999991</v>
      </c>
      <c r="AX493" s="232">
        <f t="shared" si="207"/>
        <v>0.0399999999999991</v>
      </c>
      <c r="AY493" s="232">
        <f t="shared" si="208"/>
        <v>0.04</v>
      </c>
      <c r="AZ493" s="232">
        <f t="shared" si="209"/>
        <v>0</v>
      </c>
    </row>
    <row r="494" spans="1:52">
      <c r="A494" s="269"/>
      <c r="C494" s="19">
        <v>371</v>
      </c>
      <c r="D494" s="86">
        <f ca="1" t="shared" si="233"/>
        <v>240.020271198921</v>
      </c>
      <c r="E494" s="251">
        <f ca="1" t="shared" si="210"/>
        <v>0.338188013165267</v>
      </c>
      <c r="F494" s="269">
        <f ca="1" t="shared" si="226"/>
        <v>477.677790658753</v>
      </c>
      <c r="G494" s="283">
        <f ca="1" t="shared" si="227"/>
        <v>161.544902956058</v>
      </c>
      <c r="H494" s="279">
        <f ca="1" t="shared" si="228"/>
        <v>0.204547650185077</v>
      </c>
      <c r="I494" s="269">
        <f ca="1">SUM($J$125:J494)/SUM($H$125:H494)</f>
        <v>0.503673998819618</v>
      </c>
      <c r="J494" s="284">
        <f t="shared" si="234"/>
        <v>0.0644510894592116</v>
      </c>
      <c r="K494" s="19">
        <f t="shared" si="236"/>
        <v>38000</v>
      </c>
      <c r="L494" s="269">
        <f t="shared" si="229"/>
        <v>2.89999999999996</v>
      </c>
      <c r="M494" s="226">
        <f ca="1" t="shared" si="230"/>
        <v>223.872</v>
      </c>
      <c r="N494" s="280">
        <f ca="1" t="shared" si="235"/>
        <v>0.14009656072588</v>
      </c>
      <c r="O494" s="226">
        <f t="shared" si="240"/>
        <v>105.6</v>
      </c>
      <c r="P494" s="19">
        <f ca="1" t="shared" si="204"/>
        <v>12.2</v>
      </c>
      <c r="Q494" s="226">
        <f ca="1" t="shared" si="239"/>
        <v>2.12</v>
      </c>
      <c r="R494" s="269">
        <f ca="1" t="shared" si="211"/>
        <v>0.787502001689973</v>
      </c>
      <c r="S494" s="266">
        <f ca="1" t="shared" si="212"/>
        <v>73.9817847685871</v>
      </c>
      <c r="T494" s="226">
        <f ca="1">(1+OFFSET('玩法产出(新)'!$C$18,MATCH(X494,'玩法产出(新)'!$B$19:$B$25,0),1)*(1-V494)+OFFSET('玩法产出(新)'!$C$18,1+MATCH(X494,'玩法产出(新)'!$B$19:$B$25,0),1)*(V494))^AA494*(1+OFFSET('玩法产出(新)'!$C$18,MATCH(X494,'玩法产出(新)'!$B$19:$B$25,0),3)*(1-V494)+OFFSET('玩法产出(新)'!$C$18,1+MATCH(X494,'玩法产出(新)'!$B$19:$B$25,0),3)*(V494))^AB494*(1+OFFSET('玩法产出(新)'!$C$18,MATCH(X494,'玩法产出(新)'!$B$19:$B$25,0),4)*(1-V494)+OFFSET('玩法产出(新)'!$C$18,1+MATCH(X494,'玩法产出(新)'!$B$19:$B$25,0),4)*(V494))^AC494*(1+OFFSET('玩法产出(新)'!$C$18,MATCH(X494,'玩法产出(新)'!$B$19:$B$25,0),5)*(1+V494)+OFFSET('玩法产出(新)'!$C$18,1+MATCH(X494,'玩法产出(新)'!$B$19:$B$25,5),1)*(V494))^AD494*(1+OFFSET('玩法产出(新)'!$C$18,MATCH(X494,'玩法产出(新)'!$B$19:$B$25,0),6)*(1+V494)+OFFSET('玩法产出(新)'!$C$18,1+MATCH(X494,'玩法产出(新)'!$B$19:$B$25,0),6)*(V494))^AE494</f>
        <v>149.232809904969</v>
      </c>
      <c r="U494" s="226">
        <f ca="1" t="shared" si="231"/>
        <v>0.133640362980176</v>
      </c>
      <c r="V494" s="226">
        <f ca="1">COUNTIF($X$124:$X494,X494)/(COUNTIF($X$124:$X$723,X494)+1)</f>
        <v>0.525773195876289</v>
      </c>
      <c r="W494" s="19">
        <v>30</v>
      </c>
      <c r="X494" s="19" t="s">
        <v>326</v>
      </c>
      <c r="Y494" s="19">
        <f t="shared" si="237"/>
        <v>38260</v>
      </c>
      <c r="Z494" s="19">
        <f ca="1" t="shared" si="213"/>
        <v>0.303420846649484</v>
      </c>
      <c r="AA494" s="282">
        <f ca="1" t="shared" si="214"/>
        <v>1.676071875</v>
      </c>
      <c r="AB494" s="282">
        <f ca="1" t="shared" si="215"/>
        <v>18</v>
      </c>
      <c r="AC494" s="282">
        <f ca="1" t="shared" si="216"/>
        <v>7.86585</v>
      </c>
      <c r="AD494" s="282">
        <f ca="1" t="shared" si="217"/>
        <v>1.9664625</v>
      </c>
      <c r="AE494" s="282">
        <f ca="1" t="shared" si="218"/>
        <v>0.491615625</v>
      </c>
      <c r="AF494" s="19" t="str">
        <f t="shared" si="219"/>
        <v>彩3</v>
      </c>
      <c r="AG494" s="19">
        <f>IFERROR(_xlfn.XLOOKUP(C494+1,[2]基因升级!$E$141:$E$500,[2]基因升级!$D$141:$D$500)-1,AG493)</f>
        <v>106</v>
      </c>
      <c r="AH494" s="19">
        <v>8</v>
      </c>
      <c r="AI494" s="19">
        <f t="shared" si="220"/>
        <v>10.5142500606751</v>
      </c>
      <c r="AJ494" s="19">
        <f t="shared" si="232"/>
        <v>0</v>
      </c>
      <c r="AK494" s="269">
        <v>2.0368</v>
      </c>
      <c r="AL494" s="287">
        <f t="shared" si="241"/>
        <v>16.4799999999998</v>
      </c>
      <c r="AM494" s="287">
        <f t="shared" si="242"/>
        <v>12.8799999999999</v>
      </c>
      <c r="AN494" s="287">
        <f t="shared" si="243"/>
        <v>9.27999999999997</v>
      </c>
      <c r="AO494" s="287">
        <f t="shared" si="238"/>
        <v>5.68</v>
      </c>
      <c r="AP494" s="86"/>
      <c r="AQ494" s="19">
        <f t="shared" si="221"/>
        <v>3.04961248011926</v>
      </c>
      <c r="AR494" s="19">
        <f t="shared" si="222"/>
        <v>2.39035858999266</v>
      </c>
      <c r="AS494" s="19">
        <f t="shared" si="223"/>
        <v>1.87361975529699</v>
      </c>
      <c r="AT494" s="19">
        <f t="shared" si="224"/>
        <v>1.46858760109709</v>
      </c>
      <c r="AU494" s="19">
        <f t="shared" si="225"/>
        <v>1</v>
      </c>
      <c r="AV494" s="232">
        <f t="shared" si="205"/>
        <v>0.0399999999999991</v>
      </c>
      <c r="AW494" s="232">
        <f t="shared" si="206"/>
        <v>0.0399999999999991</v>
      </c>
      <c r="AX494" s="232">
        <f t="shared" si="207"/>
        <v>0.0399999999999991</v>
      </c>
      <c r="AY494" s="232">
        <f t="shared" si="208"/>
        <v>0.04</v>
      </c>
      <c r="AZ494" s="232">
        <f t="shared" si="209"/>
        <v>0</v>
      </c>
    </row>
    <row r="495" spans="1:52">
      <c r="A495" s="269"/>
      <c r="C495" s="19">
        <v>372</v>
      </c>
      <c r="D495" s="86">
        <f ca="1" t="shared" si="233"/>
        <v>240.357134107064</v>
      </c>
      <c r="E495" s="251">
        <f ca="1" t="shared" si="210"/>
        <v>0.336862908143087</v>
      </c>
      <c r="F495" s="269">
        <f ca="1" t="shared" si="226"/>
        <v>480.159687886784</v>
      </c>
      <c r="G495" s="283">
        <f ca="1" t="shared" si="227"/>
        <v>161.747988834619</v>
      </c>
      <c r="H495" s="279">
        <f ca="1" t="shared" si="228"/>
        <v>0.203085878561012</v>
      </c>
      <c r="I495" s="269">
        <f ca="1">SUM($J$125:J495)/SUM($H$125:H495)</f>
        <v>0.503423687240998</v>
      </c>
      <c r="J495" s="284">
        <f t="shared" si="234"/>
        <v>0.0643047979209825</v>
      </c>
      <c r="K495" s="19">
        <f t="shared" si="236"/>
        <v>38100</v>
      </c>
      <c r="L495" s="269">
        <f t="shared" si="229"/>
        <v>2.90499999999996</v>
      </c>
      <c r="M495" s="226">
        <f ca="1" t="shared" si="230"/>
        <v>225.984</v>
      </c>
      <c r="N495" s="280">
        <f ca="1" t="shared" si="235"/>
        <v>0.138781080640015</v>
      </c>
      <c r="O495" s="226">
        <f t="shared" si="240"/>
        <v>105.6</v>
      </c>
      <c r="P495" s="19">
        <f ca="1" t="shared" si="204"/>
        <v>12.4</v>
      </c>
      <c r="Q495" s="226">
        <f ca="1" t="shared" si="239"/>
        <v>2.14</v>
      </c>
      <c r="R495" s="269">
        <f ca="1" t="shared" si="211"/>
        <v>0.788925996513909</v>
      </c>
      <c r="S495" s="266">
        <f ca="1" t="shared" si="212"/>
        <v>74.1155617981692</v>
      </c>
      <c r="T495" s="226">
        <f ca="1">(1+OFFSET('玩法产出(新)'!$C$18,MATCH(X495,'玩法产出(新)'!$B$19:$B$25,0),1)*(1-V495)+OFFSET('玩法产出(新)'!$C$18,1+MATCH(X495,'玩法产出(新)'!$B$19:$B$25,0),1)*(V495))^AA495*(1+OFFSET('玩法产出(新)'!$C$18,MATCH(X495,'玩法产出(新)'!$B$19:$B$25,0),3)*(1-V495)+OFFSET('玩法产出(新)'!$C$18,1+MATCH(X495,'玩法产出(新)'!$B$19:$B$25,0),3)*(V495))^AB495*(1+OFFSET('玩法产出(新)'!$C$18,MATCH(X495,'玩法产出(新)'!$B$19:$B$25,0),4)*(1-V495)+OFFSET('玩法产出(新)'!$C$18,1+MATCH(X495,'玩法产出(新)'!$B$19:$B$25,0),4)*(V495))^AC495*(1+OFFSET('玩法产出(新)'!$C$18,MATCH(X495,'玩法产出(新)'!$B$19:$B$25,0),5)*(1+V495)+OFFSET('玩法产出(新)'!$C$18,1+MATCH(X495,'玩法产出(新)'!$B$19:$B$25,5),1)*(V495))^AD495*(1+OFFSET('玩法产出(新)'!$C$18,MATCH(X495,'玩法产出(新)'!$B$19:$B$25,0),6)*(1+V495)+OFFSET('玩法产出(新)'!$C$18,1+MATCH(X495,'玩法产出(新)'!$B$19:$B$25,0),6)*(V495))^AE495</f>
        <v>150.589673226515</v>
      </c>
      <c r="U495" s="226">
        <f ca="1" t="shared" si="231"/>
        <v>0.133777029582089</v>
      </c>
      <c r="V495" s="226">
        <f ca="1">COUNTIF($X$124:$X495,X495)/(COUNTIF($X$124:$X$723,X495)+1)</f>
        <v>0.527835051546392</v>
      </c>
      <c r="W495" s="19">
        <v>30</v>
      </c>
      <c r="X495" s="19" t="s">
        <v>326</v>
      </c>
      <c r="Y495" s="19">
        <f t="shared" si="237"/>
        <v>38360</v>
      </c>
      <c r="Z495" s="19">
        <f ca="1" t="shared" si="213"/>
        <v>0.298602797938144</v>
      </c>
      <c r="AA495" s="282">
        <f ca="1" t="shared" si="214"/>
        <v>1.64870625</v>
      </c>
      <c r="AB495" s="282">
        <f ca="1" t="shared" si="215"/>
        <v>18</v>
      </c>
      <c r="AC495" s="282">
        <f ca="1" t="shared" si="216"/>
        <v>7.8867</v>
      </c>
      <c r="AD495" s="282">
        <f ca="1" t="shared" si="217"/>
        <v>1.971675</v>
      </c>
      <c r="AE495" s="282">
        <f ca="1" t="shared" si="218"/>
        <v>0.49291875</v>
      </c>
      <c r="AF495" s="19" t="str">
        <f t="shared" si="219"/>
        <v>彩3</v>
      </c>
      <c r="AG495" s="19">
        <f>IFERROR(_xlfn.XLOOKUP(C495+1,[2]基因升级!$E$141:$E$500,[2]基因升级!$D$141:$D$500)-1,AG494)</f>
        <v>106</v>
      </c>
      <c r="AH495" s="19">
        <v>8</v>
      </c>
      <c r="AI495" s="19">
        <f t="shared" si="220"/>
        <v>10.5142500606751</v>
      </c>
      <c r="AJ495" s="19">
        <f t="shared" si="232"/>
        <v>0</v>
      </c>
      <c r="AK495" s="269">
        <v>2.0368</v>
      </c>
      <c r="AL495" s="287">
        <f t="shared" si="241"/>
        <v>16.5199999999998</v>
      </c>
      <c r="AM495" s="287">
        <f t="shared" si="242"/>
        <v>12.9199999999999</v>
      </c>
      <c r="AN495" s="287">
        <f t="shared" si="243"/>
        <v>9.31999999999997</v>
      </c>
      <c r="AO495" s="287">
        <f t="shared" si="238"/>
        <v>5.72</v>
      </c>
      <c r="AP495" s="86"/>
      <c r="AQ495" s="19">
        <f t="shared" si="221"/>
        <v>3.05787696470305</v>
      </c>
      <c r="AR495" s="19">
        <f t="shared" si="222"/>
        <v>2.39683648901934</v>
      </c>
      <c r="AS495" s="19">
        <f t="shared" si="223"/>
        <v>1.87869728619132</v>
      </c>
      <c r="AT495" s="19">
        <f t="shared" si="224"/>
        <v>1.47256749023656</v>
      </c>
      <c r="AU495" s="19">
        <f t="shared" si="225"/>
        <v>1</v>
      </c>
      <c r="AV495" s="232">
        <f t="shared" si="205"/>
        <v>0.0399999999999991</v>
      </c>
      <c r="AW495" s="232">
        <f t="shared" si="206"/>
        <v>0.0399999999999991</v>
      </c>
      <c r="AX495" s="232">
        <f t="shared" si="207"/>
        <v>0.0399999999999991</v>
      </c>
      <c r="AY495" s="232">
        <f t="shared" si="208"/>
        <v>0.04</v>
      </c>
      <c r="AZ495" s="232">
        <f t="shared" si="209"/>
        <v>0</v>
      </c>
    </row>
    <row r="496" spans="1:52">
      <c r="A496" s="269"/>
      <c r="C496" s="19">
        <v>373</v>
      </c>
      <c r="D496" s="86">
        <f ca="1" t="shared" si="233"/>
        <v>240.692696995005</v>
      </c>
      <c r="E496" s="251">
        <f ca="1" t="shared" si="210"/>
        <v>0.335562887941361</v>
      </c>
      <c r="F496" s="269">
        <f ca="1" t="shared" si="226"/>
        <v>482.620825852911</v>
      </c>
      <c r="G496" s="283">
        <f ca="1" t="shared" si="227"/>
        <v>161.949638103847</v>
      </c>
      <c r="H496" s="279">
        <f ca="1" t="shared" si="228"/>
        <v>0.201649269228227</v>
      </c>
      <c r="I496" s="269">
        <f ca="1">SUM($J$125:J496)/SUM($H$125:H496)</f>
        <v>0.503177843782474</v>
      </c>
      <c r="J496" s="284">
        <f t="shared" si="234"/>
        <v>0.0641591940915021</v>
      </c>
      <c r="K496" s="19">
        <f t="shared" si="236"/>
        <v>38200</v>
      </c>
      <c r="L496" s="269">
        <f t="shared" si="229"/>
        <v>2.90999999999996</v>
      </c>
      <c r="M496" s="226">
        <f ca="1" t="shared" si="230"/>
        <v>228.096</v>
      </c>
      <c r="N496" s="280">
        <f ca="1" t="shared" si="235"/>
        <v>0.137490075136725</v>
      </c>
      <c r="O496" s="226">
        <f t="shared" si="240"/>
        <v>105.6</v>
      </c>
      <c r="P496" s="19">
        <f ca="1" t="shared" si="204"/>
        <v>12.6</v>
      </c>
      <c r="Q496" s="226">
        <f ca="1" t="shared" si="239"/>
        <v>2.16</v>
      </c>
      <c r="R496" s="269">
        <f ca="1" t="shared" si="211"/>
        <v>0.790351445266193</v>
      </c>
      <c r="S496" s="266">
        <f ca="1" t="shared" si="212"/>
        <v>74.2494754168823</v>
      </c>
      <c r="T496" s="226">
        <f ca="1">(1+OFFSET('玩法产出(新)'!$C$18,MATCH(X496,'玩法产出(新)'!$B$19:$B$25,0),1)*(1-V496)+OFFSET('玩法产出(新)'!$C$18,1+MATCH(X496,'玩法产出(新)'!$B$19:$B$25,0),1)*(V496))^AA496*(1+OFFSET('玩法产出(新)'!$C$18,MATCH(X496,'玩法产出(新)'!$B$19:$B$25,0),3)*(1-V496)+OFFSET('玩法产出(新)'!$C$18,1+MATCH(X496,'玩法产出(新)'!$B$19:$B$25,0),3)*(V496))^AB496*(1+OFFSET('玩法产出(新)'!$C$18,MATCH(X496,'玩法产出(新)'!$B$19:$B$25,0),4)*(1-V496)+OFFSET('玩法产出(新)'!$C$18,1+MATCH(X496,'玩法产出(新)'!$B$19:$B$25,0),4)*(V496))^AC496*(1+OFFSET('玩法产出(新)'!$C$18,MATCH(X496,'玩法产出(新)'!$B$19:$B$25,0),5)*(1+V496)+OFFSET('玩法产出(新)'!$C$18,1+MATCH(X496,'玩法产出(新)'!$B$19:$B$25,5),1)*(V496))^AD496*(1+OFFSET('玩法产出(新)'!$C$18,MATCH(X496,'玩法产出(新)'!$B$19:$B$25,0),6)*(1+V496)+OFFSET('玩法产出(新)'!$C$18,1+MATCH(X496,'玩法产出(新)'!$B$19:$B$25,0),6)*(V496))^AE496</f>
        <v>151.960277825162</v>
      </c>
      <c r="U496" s="226">
        <f ca="1" t="shared" si="231"/>
        <v>0.133913618713134</v>
      </c>
      <c r="V496" s="226">
        <f ca="1">COUNTIF($X$124:$X496,X496)/(COUNTIF($X$124:$X$723,X496)+1)</f>
        <v>0.529896907216495</v>
      </c>
      <c r="W496" s="19">
        <v>30</v>
      </c>
      <c r="X496" s="19" t="s">
        <v>326</v>
      </c>
      <c r="Y496" s="19">
        <f t="shared" si="237"/>
        <v>38460</v>
      </c>
      <c r="Z496" s="19">
        <f ca="1" t="shared" si="213"/>
        <v>0.293780235309278</v>
      </c>
      <c r="AA496" s="282">
        <f ca="1" t="shared" si="214"/>
        <v>1.621340625</v>
      </c>
      <c r="AB496" s="282">
        <f ca="1" t="shared" si="215"/>
        <v>18</v>
      </c>
      <c r="AC496" s="282">
        <f ca="1" t="shared" si="216"/>
        <v>7.90755</v>
      </c>
      <c r="AD496" s="282">
        <f ca="1" t="shared" si="217"/>
        <v>1.9768875</v>
      </c>
      <c r="AE496" s="282">
        <f ca="1" t="shared" si="218"/>
        <v>0.494221875</v>
      </c>
      <c r="AF496" s="19" t="str">
        <f t="shared" si="219"/>
        <v>彩3</v>
      </c>
      <c r="AG496" s="19">
        <f>IFERROR(_xlfn.XLOOKUP(C496+1,[2]基因升级!$E$141:$E$500,[2]基因升级!$D$141:$D$500)-1,AG495)</f>
        <v>106</v>
      </c>
      <c r="AH496" s="19">
        <v>8</v>
      </c>
      <c r="AI496" s="19">
        <f t="shared" si="220"/>
        <v>10.5142500606751</v>
      </c>
      <c r="AJ496" s="19">
        <f t="shared" si="232"/>
        <v>0</v>
      </c>
      <c r="AK496" s="269">
        <v>2.0368</v>
      </c>
      <c r="AL496" s="287">
        <f t="shared" si="241"/>
        <v>16.5599999999998</v>
      </c>
      <c r="AM496" s="287">
        <f t="shared" si="242"/>
        <v>12.9599999999999</v>
      </c>
      <c r="AN496" s="287">
        <f t="shared" si="243"/>
        <v>9.35999999999997</v>
      </c>
      <c r="AO496" s="287">
        <f t="shared" si="238"/>
        <v>5.76</v>
      </c>
      <c r="AP496" s="86"/>
      <c r="AQ496" s="19">
        <f t="shared" si="221"/>
        <v>3.06616384613427</v>
      </c>
      <c r="AR496" s="19">
        <f t="shared" si="222"/>
        <v>2.40333194322623</v>
      </c>
      <c r="AS496" s="19">
        <f t="shared" si="223"/>
        <v>1.88378857725226</v>
      </c>
      <c r="AT496" s="19">
        <f t="shared" si="224"/>
        <v>1.47655816492097</v>
      </c>
      <c r="AU496" s="19">
        <f t="shared" si="225"/>
        <v>1</v>
      </c>
      <c r="AV496" s="232">
        <f t="shared" si="205"/>
        <v>0.0399999999999991</v>
      </c>
      <c r="AW496" s="232">
        <f t="shared" si="206"/>
        <v>0.0399999999999991</v>
      </c>
      <c r="AX496" s="232">
        <f t="shared" si="207"/>
        <v>0.0399999999999991</v>
      </c>
      <c r="AY496" s="232">
        <f t="shared" si="208"/>
        <v>0.04</v>
      </c>
      <c r="AZ496" s="232">
        <f t="shared" si="209"/>
        <v>0</v>
      </c>
    </row>
    <row r="497" spans="1:52">
      <c r="A497" s="269"/>
      <c r="C497" s="19">
        <v>374</v>
      </c>
      <c r="D497" s="86">
        <f ca="1" t="shared" si="233"/>
        <v>241.026984265938</v>
      </c>
      <c r="E497" s="251">
        <f ca="1" t="shared" si="210"/>
        <v>0.334287270933038</v>
      </c>
      <c r="F497" s="269">
        <f ca="1" t="shared" si="226"/>
        <v>485.061470607991</v>
      </c>
      <c r="G497" s="283">
        <f ca="1" t="shared" si="227"/>
        <v>162.149875244311</v>
      </c>
      <c r="H497" s="279">
        <f ca="1" t="shared" si="228"/>
        <v>0.200237140463912</v>
      </c>
      <c r="I497" s="269">
        <f ca="1">SUM($J$125:J497)/SUM($H$125:H497)</f>
        <v>0.502936367280828</v>
      </c>
      <c r="J497" s="284">
        <f t="shared" si="234"/>
        <v>0.0640142729839255</v>
      </c>
      <c r="K497" s="19">
        <f t="shared" si="236"/>
        <v>38300</v>
      </c>
      <c r="L497" s="269">
        <f t="shared" si="229"/>
        <v>2.91499999999996</v>
      </c>
      <c r="M497" s="226">
        <f ca="1" t="shared" si="230"/>
        <v>230.208</v>
      </c>
      <c r="N497" s="280">
        <f ca="1" t="shared" si="235"/>
        <v>0.136222867479987</v>
      </c>
      <c r="O497" s="226">
        <f t="shared" si="240"/>
        <v>105.6</v>
      </c>
      <c r="P497" s="19">
        <f ca="1" t="shared" si="204"/>
        <v>12.8</v>
      </c>
      <c r="Q497" s="226">
        <f ca="1" t="shared" si="239"/>
        <v>2.18</v>
      </c>
      <c r="R497" s="269">
        <f ca="1" t="shared" si="211"/>
        <v>0.791778347123204</v>
      </c>
      <c r="S497" s="266">
        <f ca="1" t="shared" si="212"/>
        <v>74.3835255473515</v>
      </c>
      <c r="T497" s="226">
        <f ca="1">(1+OFFSET('玩法产出(新)'!$C$18,MATCH(X497,'玩法产出(新)'!$B$19:$B$25,0),1)*(1-V497)+OFFSET('玩法产出(新)'!$C$18,1+MATCH(X497,'玩法产出(新)'!$B$19:$B$25,0),1)*(V497))^AA497*(1+OFFSET('玩法产出(新)'!$C$18,MATCH(X497,'玩法产出(新)'!$B$19:$B$25,0),3)*(1-V497)+OFFSET('玩法产出(新)'!$C$18,1+MATCH(X497,'玩法产出(新)'!$B$19:$B$25,0),3)*(V497))^AB497*(1+OFFSET('玩法产出(新)'!$C$18,MATCH(X497,'玩法产出(新)'!$B$19:$B$25,0),4)*(1-V497)+OFFSET('玩法产出(新)'!$C$18,1+MATCH(X497,'玩法产出(新)'!$B$19:$B$25,0),4)*(V497))^AC497*(1+OFFSET('玩法产出(新)'!$C$18,MATCH(X497,'玩法产出(新)'!$B$19:$B$25,0),5)*(1+V497)+OFFSET('玩法产出(新)'!$C$18,1+MATCH(X497,'玩法产出(新)'!$B$19:$B$25,5),1)*(V497))^AD497*(1+OFFSET('玩法产出(新)'!$C$18,MATCH(X497,'玩法产出(新)'!$B$19:$B$25,0),6)*(1+V497)+OFFSET('玩法产出(新)'!$C$18,1+MATCH(X497,'玩法产出(新)'!$B$19:$B$25,0),6)*(V497))^AE497</f>
        <v>153.344773413638</v>
      </c>
      <c r="U497" s="226">
        <f ca="1" t="shared" si="231"/>
        <v>0.134050130469126</v>
      </c>
      <c r="V497" s="226">
        <f ca="1">COUNTIF($X$124:$X497,X497)/(COUNTIF($X$124:$X$723,X497)+1)</f>
        <v>0.531958762886598</v>
      </c>
      <c r="W497" s="19">
        <v>30</v>
      </c>
      <c r="X497" s="19" t="s">
        <v>326</v>
      </c>
      <c r="Y497" s="19">
        <f t="shared" si="237"/>
        <v>38560</v>
      </c>
      <c r="Z497" s="19">
        <f ca="1" t="shared" si="213"/>
        <v>0.288953158762887</v>
      </c>
      <c r="AA497" s="282">
        <f ca="1" t="shared" si="214"/>
        <v>1.593975</v>
      </c>
      <c r="AB497" s="282">
        <f ca="1" t="shared" si="215"/>
        <v>18</v>
      </c>
      <c r="AC497" s="282">
        <f ca="1" t="shared" si="216"/>
        <v>7.9284</v>
      </c>
      <c r="AD497" s="282">
        <f ca="1" t="shared" si="217"/>
        <v>1.9821</v>
      </c>
      <c r="AE497" s="282">
        <f ca="1" t="shared" si="218"/>
        <v>0.495525</v>
      </c>
      <c r="AF497" s="19" t="str">
        <f t="shared" si="219"/>
        <v>彩3</v>
      </c>
      <c r="AG497" s="19">
        <f>IFERROR(_xlfn.XLOOKUP(C497+1,[2]基因升级!$E$141:$E$500,[2]基因升级!$D$141:$D$500)-1,AG496)</f>
        <v>106</v>
      </c>
      <c r="AH497" s="19">
        <v>8</v>
      </c>
      <c r="AI497" s="19">
        <f t="shared" si="220"/>
        <v>10.5142500606751</v>
      </c>
      <c r="AJ497" s="19">
        <f t="shared" si="232"/>
        <v>0</v>
      </c>
      <c r="AK497" s="269">
        <v>2.0368</v>
      </c>
      <c r="AL497" s="287">
        <f t="shared" si="241"/>
        <v>16.5999999999998</v>
      </c>
      <c r="AM497" s="287">
        <f t="shared" si="242"/>
        <v>12.9999999999999</v>
      </c>
      <c r="AN497" s="287">
        <f t="shared" si="243"/>
        <v>9.39999999999997</v>
      </c>
      <c r="AO497" s="287">
        <f t="shared" si="238"/>
        <v>5.8</v>
      </c>
      <c r="AP497" s="86"/>
      <c r="AQ497" s="19">
        <f t="shared" si="221"/>
        <v>3.07447318510863</v>
      </c>
      <c r="AR497" s="19">
        <f t="shared" si="222"/>
        <v>2.40984500018807</v>
      </c>
      <c r="AS497" s="19">
        <f t="shared" si="223"/>
        <v>1.88889366577</v>
      </c>
      <c r="AT497" s="19">
        <f t="shared" si="224"/>
        <v>1.48055965437925</v>
      </c>
      <c r="AU497" s="19">
        <f t="shared" si="225"/>
        <v>1</v>
      </c>
      <c r="AV497" s="232">
        <f t="shared" si="205"/>
        <v>0.0399999999999991</v>
      </c>
      <c r="AW497" s="232">
        <f t="shared" si="206"/>
        <v>0.0399999999999991</v>
      </c>
      <c r="AX497" s="232">
        <f t="shared" si="207"/>
        <v>0.0399999999999991</v>
      </c>
      <c r="AY497" s="232">
        <f t="shared" si="208"/>
        <v>0.04</v>
      </c>
      <c r="AZ497" s="232">
        <f t="shared" si="209"/>
        <v>0</v>
      </c>
    </row>
    <row r="498" spans="1:52">
      <c r="A498" s="269"/>
      <c r="C498" s="19">
        <v>375</v>
      </c>
      <c r="D498" s="86">
        <f ca="1" t="shared" si="233"/>
        <v>241.3600196662</v>
      </c>
      <c r="E498" s="251">
        <f ca="1" t="shared" si="210"/>
        <v>0.333035400262084</v>
      </c>
      <c r="F498" s="269">
        <f ca="1" t="shared" si="226"/>
        <v>487.48188316277</v>
      </c>
      <c r="G498" s="283">
        <f ca="1" t="shared" si="227"/>
        <v>162.348724079628</v>
      </c>
      <c r="H498" s="279">
        <f ca="1" t="shared" si="228"/>
        <v>0.198848835316227</v>
      </c>
      <c r="I498" s="269">
        <f ca="1">SUM($J$125:J498)/SUM($H$125:H498)</f>
        <v>0.502699159641383</v>
      </c>
      <c r="J498" s="284">
        <f t="shared" si="234"/>
        <v>0.0638700296605492</v>
      </c>
      <c r="K498" s="19">
        <f t="shared" si="236"/>
        <v>38400</v>
      </c>
      <c r="L498" s="269">
        <f t="shared" si="229"/>
        <v>2.91999999999996</v>
      </c>
      <c r="M498" s="226">
        <f ca="1" t="shared" si="230"/>
        <v>232.32</v>
      </c>
      <c r="N498" s="280">
        <f ca="1" t="shared" si="235"/>
        <v>0.134978805655678</v>
      </c>
      <c r="O498" s="226">
        <f t="shared" si="240"/>
        <v>105.6</v>
      </c>
      <c r="P498" s="19">
        <f ca="1" t="shared" si="204"/>
        <v>13</v>
      </c>
      <c r="Q498" s="226">
        <f ca="1" t="shared" si="239"/>
        <v>2.2</v>
      </c>
      <c r="R498" s="269">
        <f ca="1" t="shared" si="211"/>
        <v>0.793206701262338</v>
      </c>
      <c r="S498" s="266">
        <f ca="1" t="shared" si="212"/>
        <v>74.5177121122973</v>
      </c>
      <c r="T498" s="226">
        <f ca="1">(1+OFFSET('玩法产出(新)'!$C$18,MATCH(X498,'玩法产出(新)'!$B$19:$B$25,0),1)*(1-V498)+OFFSET('玩法产出(新)'!$C$18,1+MATCH(X498,'玩法产出(新)'!$B$19:$B$25,0),1)*(V498))^AA498*(1+OFFSET('玩法产出(新)'!$C$18,MATCH(X498,'玩法产出(新)'!$B$19:$B$25,0),3)*(1-V498)+OFFSET('玩法产出(新)'!$C$18,1+MATCH(X498,'玩法产出(新)'!$B$19:$B$25,0),3)*(V498))^AB498*(1+OFFSET('玩法产出(新)'!$C$18,MATCH(X498,'玩法产出(新)'!$B$19:$B$25,0),4)*(1-V498)+OFFSET('玩法产出(新)'!$C$18,1+MATCH(X498,'玩法产出(新)'!$B$19:$B$25,0),4)*(V498))^AC498*(1+OFFSET('玩法产出(新)'!$C$18,MATCH(X498,'玩法产出(新)'!$B$19:$B$25,0),5)*(1+V498)+OFFSET('玩法产出(新)'!$C$18,1+MATCH(X498,'玩法产出(新)'!$B$19:$B$25,5),1)*(V498))^AD498*(1+OFFSET('玩法产出(新)'!$C$18,MATCH(X498,'玩法产出(新)'!$B$19:$B$25,0),6)*(1+V498)+OFFSET('玩法产出(新)'!$C$18,1+MATCH(X498,'玩法产出(新)'!$B$19:$B$25,0),6)*(V498))^AE498</f>
        <v>154.743311433915</v>
      </c>
      <c r="U498" s="226">
        <f ca="1" t="shared" si="231"/>
        <v>0.134186564945857</v>
      </c>
      <c r="V498" s="226">
        <f ca="1">COUNTIF($X$124:$X498,X498)/(COUNTIF($X$124:$X$723,X498)+1)</f>
        <v>0.534020618556701</v>
      </c>
      <c r="W498" s="19">
        <v>30</v>
      </c>
      <c r="X498" s="19" t="s">
        <v>326</v>
      </c>
      <c r="Y498" s="19">
        <f t="shared" si="237"/>
        <v>38660</v>
      </c>
      <c r="Z498" s="19">
        <f ca="1" t="shared" si="213"/>
        <v>0.284121568298969</v>
      </c>
      <c r="AA498" s="282">
        <f ca="1" t="shared" si="214"/>
        <v>1.566609375</v>
      </c>
      <c r="AB498" s="282">
        <f ca="1" t="shared" si="215"/>
        <v>18</v>
      </c>
      <c r="AC498" s="282">
        <f ca="1" t="shared" si="216"/>
        <v>7.94925</v>
      </c>
      <c r="AD498" s="282">
        <f ca="1" t="shared" si="217"/>
        <v>1.9873125</v>
      </c>
      <c r="AE498" s="282">
        <f ca="1" t="shared" si="218"/>
        <v>0.496828125</v>
      </c>
      <c r="AF498" s="19" t="str">
        <f t="shared" si="219"/>
        <v>彩3</v>
      </c>
      <c r="AG498" s="19">
        <f>IFERROR(_xlfn.XLOOKUP(C498+1,[2]基因升级!$E$141:$E$500,[2]基因升级!$D$141:$D$500)-1,AG497)</f>
        <v>107</v>
      </c>
      <c r="AH498" s="19">
        <v>8</v>
      </c>
      <c r="AI498" s="19">
        <f t="shared" si="220"/>
        <v>10.5142500606751</v>
      </c>
      <c r="AJ498" s="19">
        <f t="shared" si="232"/>
        <v>0</v>
      </c>
      <c r="AK498" s="269">
        <v>2.0368</v>
      </c>
      <c r="AL498" s="287">
        <f t="shared" si="241"/>
        <v>16.6399999999998</v>
      </c>
      <c r="AM498" s="287">
        <f t="shared" si="242"/>
        <v>13.0399999999999</v>
      </c>
      <c r="AN498" s="287">
        <f t="shared" si="243"/>
        <v>9.43999999999997</v>
      </c>
      <c r="AO498" s="287">
        <f t="shared" si="238"/>
        <v>5.84</v>
      </c>
      <c r="AP498" s="86"/>
      <c r="AQ498" s="19">
        <f t="shared" si="221"/>
        <v>3.08280504248634</v>
      </c>
      <c r="AR498" s="19">
        <f t="shared" si="222"/>
        <v>2.41637570760851</v>
      </c>
      <c r="AS498" s="19">
        <f t="shared" si="223"/>
        <v>1.89401258913582</v>
      </c>
      <c r="AT498" s="19">
        <f t="shared" si="224"/>
        <v>1.48457198791959</v>
      </c>
      <c r="AU498" s="19">
        <f t="shared" si="225"/>
        <v>1</v>
      </c>
      <c r="AV498" s="232">
        <f t="shared" si="205"/>
        <v>0.0399999999999991</v>
      </c>
      <c r="AW498" s="232">
        <f t="shared" si="206"/>
        <v>0.0399999999999991</v>
      </c>
      <c r="AX498" s="232">
        <f t="shared" si="207"/>
        <v>0.0399999999999991</v>
      </c>
      <c r="AY498" s="232">
        <f t="shared" si="208"/>
        <v>0.04</v>
      </c>
      <c r="AZ498" s="232">
        <f t="shared" si="209"/>
        <v>0</v>
      </c>
    </row>
    <row r="499" spans="1:52">
      <c r="A499" s="269"/>
      <c r="C499" s="19">
        <v>376</v>
      </c>
      <c r="D499" s="86">
        <f ca="1" t="shared" si="233"/>
        <v>241.691826308924</v>
      </c>
      <c r="E499" s="251">
        <f ca="1" t="shared" si="210"/>
        <v>0.331806642723806</v>
      </c>
      <c r="F499" s="269">
        <f ca="1" t="shared" si="226"/>
        <v>489.882319611711</v>
      </c>
      <c r="G499" s="283">
        <f ca="1" t="shared" si="227"/>
        <v>162.546207800113</v>
      </c>
      <c r="H499" s="279">
        <f ca="1" t="shared" si="228"/>
        <v>0.197483720485138</v>
      </c>
      <c r="I499" s="269">
        <f ca="1">SUM($J$125:J499)/SUM($H$125:H499)</f>
        <v>0.502466125719328</v>
      </c>
      <c r="J499" s="284">
        <f t="shared" si="234"/>
        <v>0.0637264592324129</v>
      </c>
      <c r="K499" s="19">
        <f t="shared" si="236"/>
        <v>38500</v>
      </c>
      <c r="L499" s="269">
        <f t="shared" si="229"/>
        <v>2.92499999999996</v>
      </c>
      <c r="M499" s="226">
        <f ca="1" t="shared" si="230"/>
        <v>234.432</v>
      </c>
      <c r="N499" s="280">
        <f ca="1" t="shared" si="235"/>
        <v>0.133757261252725</v>
      </c>
      <c r="O499" s="226">
        <f t="shared" si="240"/>
        <v>105.6</v>
      </c>
      <c r="P499" s="19">
        <f ca="1" t="shared" si="204"/>
        <v>13.2</v>
      </c>
      <c r="Q499" s="226">
        <f ca="1" t="shared" si="239"/>
        <v>2.22</v>
      </c>
      <c r="R499" s="269">
        <f ca="1" t="shared" si="211"/>
        <v>0.794636506862009</v>
      </c>
      <c r="S499" s="266">
        <f ca="1" t="shared" si="212"/>
        <v>74.652035034536</v>
      </c>
      <c r="T499" s="226">
        <f ca="1">(1+OFFSET('玩法产出(新)'!$C$18,MATCH(X499,'玩法产出(新)'!$B$19:$B$25,0),1)*(1-V499)+OFFSET('玩法产出(新)'!$C$18,1+MATCH(X499,'玩法产出(新)'!$B$19:$B$25,0),1)*(V499))^AA499*(1+OFFSET('玩法产出(新)'!$C$18,MATCH(X499,'玩法产出(新)'!$B$19:$B$25,0),3)*(1-V499)+OFFSET('玩法产出(新)'!$C$18,1+MATCH(X499,'玩法产出(新)'!$B$19:$B$25,0),3)*(V499))^AB499*(1+OFFSET('玩法产出(新)'!$C$18,MATCH(X499,'玩法产出(新)'!$B$19:$B$25,0),4)*(1-V499)+OFFSET('玩法产出(新)'!$C$18,1+MATCH(X499,'玩法产出(新)'!$B$19:$B$25,0),4)*(V499))^AC499*(1+OFFSET('玩法产出(新)'!$C$18,MATCH(X499,'玩法产出(新)'!$B$19:$B$25,0),5)*(1+V499)+OFFSET('玩法产出(新)'!$C$18,1+MATCH(X499,'玩法产出(新)'!$B$19:$B$25,5),1)*(V499))^AD499*(1+OFFSET('玩法产出(新)'!$C$18,MATCH(X499,'玩法产出(新)'!$B$19:$B$25,0),6)*(1+V499)+OFFSET('玩法产出(新)'!$C$18,1+MATCH(X499,'玩法产出(新)'!$B$19:$B$25,0),6)*(V499))^AE499</f>
        <v>156.156045078178</v>
      </c>
      <c r="U499" s="226">
        <f ca="1" t="shared" si="231"/>
        <v>0.134322922238668</v>
      </c>
      <c r="V499" s="226">
        <f ca="1">COUNTIF($X$124:$X499,X499)/(COUNTIF($X$124:$X$723,X499)+1)</f>
        <v>0.536082474226804</v>
      </c>
      <c r="W499" s="19">
        <v>30</v>
      </c>
      <c r="X499" s="19" t="s">
        <v>326</v>
      </c>
      <c r="Y499" s="19">
        <f t="shared" si="237"/>
        <v>38760</v>
      </c>
      <c r="Z499" s="19">
        <f ca="1" t="shared" si="213"/>
        <v>0.279285463917525</v>
      </c>
      <c r="AA499" s="282">
        <f ca="1" t="shared" si="214"/>
        <v>1.53924375</v>
      </c>
      <c r="AB499" s="282">
        <f ca="1" t="shared" si="215"/>
        <v>18</v>
      </c>
      <c r="AC499" s="282">
        <f ca="1" t="shared" si="216"/>
        <v>7.9701</v>
      </c>
      <c r="AD499" s="282">
        <f ca="1" t="shared" si="217"/>
        <v>1.992525</v>
      </c>
      <c r="AE499" s="282">
        <f ca="1" t="shared" si="218"/>
        <v>0.49813125</v>
      </c>
      <c r="AF499" s="19" t="str">
        <f t="shared" si="219"/>
        <v>彩3</v>
      </c>
      <c r="AG499" s="19">
        <f>IFERROR(_xlfn.XLOOKUP(C499+1,[2]基因升级!$E$141:$E$500,[2]基因升级!$D$141:$D$500)-1,AG498)</f>
        <v>107</v>
      </c>
      <c r="AH499" s="19">
        <v>8</v>
      </c>
      <c r="AI499" s="19">
        <f t="shared" si="220"/>
        <v>10.5142500606751</v>
      </c>
      <c r="AJ499" s="19">
        <f t="shared" si="232"/>
        <v>0</v>
      </c>
      <c r="AK499" s="269">
        <v>2.0368</v>
      </c>
      <c r="AL499" s="287">
        <f t="shared" si="241"/>
        <v>16.6799999999998</v>
      </c>
      <c r="AM499" s="287">
        <f t="shared" si="242"/>
        <v>13.0799999999999</v>
      </c>
      <c r="AN499" s="287">
        <f t="shared" si="243"/>
        <v>9.47999999999997</v>
      </c>
      <c r="AO499" s="287">
        <f t="shared" si="238"/>
        <v>5.88</v>
      </c>
      <c r="AP499" s="86"/>
      <c r="AQ499" s="19">
        <f t="shared" si="221"/>
        <v>3.09115947929251</v>
      </c>
      <c r="AR499" s="19">
        <f t="shared" si="222"/>
        <v>2.4229241133205</v>
      </c>
      <c r="AS499" s="19">
        <f t="shared" si="223"/>
        <v>1.89914538484231</v>
      </c>
      <c r="AT499" s="19">
        <f t="shared" si="224"/>
        <v>1.48859519492955</v>
      </c>
      <c r="AU499" s="19">
        <f t="shared" si="225"/>
        <v>1</v>
      </c>
      <c r="AV499" s="232">
        <f t="shared" si="205"/>
        <v>0.0399999999999991</v>
      </c>
      <c r="AW499" s="232">
        <f t="shared" si="206"/>
        <v>0.0399999999999991</v>
      </c>
      <c r="AX499" s="232">
        <f t="shared" si="207"/>
        <v>0.0399999999999991</v>
      </c>
      <c r="AY499" s="232">
        <f t="shared" si="208"/>
        <v>0.04</v>
      </c>
      <c r="AZ499" s="232">
        <f t="shared" si="209"/>
        <v>0</v>
      </c>
    </row>
    <row r="500" spans="1:52">
      <c r="A500" s="269"/>
      <c r="C500" s="19">
        <v>377</v>
      </c>
      <c r="D500" s="86">
        <f ca="1" t="shared" si="233"/>
        <v>242.02242669663</v>
      </c>
      <c r="E500" s="251">
        <f ca="1" t="shared" si="210"/>
        <v>0.330600387706348</v>
      </c>
      <c r="F500" s="269">
        <f ca="1" t="shared" si="226"/>
        <v>492.263031251886</v>
      </c>
      <c r="G500" s="283">
        <f ca="1" t="shared" si="227"/>
        <v>162.742348985376</v>
      </c>
      <c r="H500" s="279">
        <f ca="1" t="shared" si="228"/>
        <v>0.19614118526323</v>
      </c>
      <c r="I500" s="269">
        <f ca="1">SUM($J$125:J500)/SUM($H$125:H500)</f>
        <v>0.502237173206636</v>
      </c>
      <c r="J500" s="284">
        <f t="shared" si="234"/>
        <v>0.0635835568584753</v>
      </c>
      <c r="K500" s="19">
        <f t="shared" si="236"/>
        <v>38600</v>
      </c>
      <c r="L500" s="269">
        <f t="shared" si="229"/>
        <v>2.92999999999996</v>
      </c>
      <c r="M500" s="226">
        <f ca="1" t="shared" si="230"/>
        <v>236.544</v>
      </c>
      <c r="N500" s="280">
        <f ca="1" t="shared" si="235"/>
        <v>0.132557628404768</v>
      </c>
      <c r="O500" s="226">
        <f t="shared" si="240"/>
        <v>105.6</v>
      </c>
      <c r="P500" s="19">
        <f ca="1" t="shared" si="204"/>
        <v>13.4</v>
      </c>
      <c r="Q500" s="226">
        <f ca="1" t="shared" si="239"/>
        <v>2.24</v>
      </c>
      <c r="R500" s="269">
        <f ca="1" t="shared" si="211"/>
        <v>0.796067763101647</v>
      </c>
      <c r="S500" s="266">
        <f ca="1" t="shared" si="212"/>
        <v>74.7864942369791</v>
      </c>
      <c r="T500" s="226">
        <f ca="1">(1+OFFSET('玩法产出(新)'!$C$18,MATCH(X500,'玩法产出(新)'!$B$19:$B$25,0),1)*(1-V500)+OFFSET('玩法产出(新)'!$C$18,1+MATCH(X500,'玩法产出(新)'!$B$19:$B$25,0),1)*(V500))^AA500*(1+OFFSET('玩法产出(新)'!$C$18,MATCH(X500,'玩法产出(新)'!$B$19:$B$25,0),3)*(1-V500)+OFFSET('玩法产出(新)'!$C$18,1+MATCH(X500,'玩法产出(新)'!$B$19:$B$25,0),3)*(V500))^AB500*(1+OFFSET('玩法产出(新)'!$C$18,MATCH(X500,'玩法产出(新)'!$B$19:$B$25,0),4)*(1-V500)+OFFSET('玩法产出(新)'!$C$18,1+MATCH(X500,'玩法产出(新)'!$B$19:$B$25,0),4)*(V500))^AC500*(1+OFFSET('玩法产出(新)'!$C$18,MATCH(X500,'玩法产出(新)'!$B$19:$B$25,0),5)*(1+V500)+OFFSET('玩法产出(新)'!$C$18,1+MATCH(X500,'玩法产出(新)'!$B$19:$B$25,5),1)*(V500))^AD500*(1+OFFSET('玩法产出(新)'!$C$18,MATCH(X500,'玩法产出(新)'!$B$19:$B$25,0),6)*(1+V500)+OFFSET('玩法产出(新)'!$C$18,1+MATCH(X500,'玩法产出(新)'!$B$19:$B$25,0),6)*(V500))^AE500</f>
        <v>157.583129310055</v>
      </c>
      <c r="U500" s="226">
        <f ca="1" t="shared" si="231"/>
        <v>0.134459202443105</v>
      </c>
      <c r="V500" s="226">
        <f ca="1">COUNTIF($X$124:$X500,X500)/(COUNTIF($X$124:$X$723,X500)+1)</f>
        <v>0.538144329896907</v>
      </c>
      <c r="W500" s="19">
        <v>30</v>
      </c>
      <c r="X500" s="19" t="s">
        <v>326</v>
      </c>
      <c r="Y500" s="19">
        <f t="shared" si="237"/>
        <v>38860</v>
      </c>
      <c r="Z500" s="19">
        <f ca="1" t="shared" si="213"/>
        <v>0.274444845618557</v>
      </c>
      <c r="AA500" s="282">
        <f ca="1" t="shared" si="214"/>
        <v>1.511878125</v>
      </c>
      <c r="AB500" s="282">
        <f ca="1" t="shared" si="215"/>
        <v>18</v>
      </c>
      <c r="AC500" s="282">
        <f ca="1" t="shared" si="216"/>
        <v>7.99095</v>
      </c>
      <c r="AD500" s="282">
        <f ca="1" t="shared" si="217"/>
        <v>1.9977375</v>
      </c>
      <c r="AE500" s="282">
        <f ca="1" t="shared" si="218"/>
        <v>0.499434375</v>
      </c>
      <c r="AF500" s="19" t="str">
        <f t="shared" si="219"/>
        <v>彩3</v>
      </c>
      <c r="AG500" s="19">
        <f>IFERROR(_xlfn.XLOOKUP(C500+1,[2]基因升级!$E$141:$E$500,[2]基因升级!$D$141:$D$500)-1,AG499)</f>
        <v>107</v>
      </c>
      <c r="AH500" s="19">
        <v>8</v>
      </c>
      <c r="AI500" s="19">
        <f t="shared" si="220"/>
        <v>10.5142500606751</v>
      </c>
      <c r="AJ500" s="19">
        <f t="shared" si="232"/>
        <v>0</v>
      </c>
      <c r="AK500" s="269">
        <v>2.0368</v>
      </c>
      <c r="AL500" s="287">
        <f t="shared" si="241"/>
        <v>16.7199999999998</v>
      </c>
      <c r="AM500" s="287">
        <f t="shared" si="242"/>
        <v>13.1199999999999</v>
      </c>
      <c r="AN500" s="287">
        <f t="shared" si="243"/>
        <v>9.51999999999997</v>
      </c>
      <c r="AO500" s="287">
        <f t="shared" si="238"/>
        <v>5.92</v>
      </c>
      <c r="AP500" s="86"/>
      <c r="AQ500" s="19">
        <f t="shared" si="221"/>
        <v>3.09953655671766</v>
      </c>
      <c r="AR500" s="19">
        <f t="shared" si="222"/>
        <v>2.42949026528662</v>
      </c>
      <c r="AS500" s="19">
        <f t="shared" si="223"/>
        <v>1.90429209048368</v>
      </c>
      <c r="AT500" s="19">
        <f t="shared" si="224"/>
        <v>1.49262930487638</v>
      </c>
      <c r="AU500" s="19">
        <f t="shared" si="225"/>
        <v>1</v>
      </c>
      <c r="AV500" s="232">
        <f t="shared" si="205"/>
        <v>0.0399999999999991</v>
      </c>
      <c r="AW500" s="232">
        <f t="shared" si="206"/>
        <v>0.0399999999999991</v>
      </c>
      <c r="AX500" s="232">
        <f t="shared" si="207"/>
        <v>0.0399999999999991</v>
      </c>
      <c r="AY500" s="232">
        <f t="shared" si="208"/>
        <v>0.04</v>
      </c>
      <c r="AZ500" s="232">
        <f t="shared" si="209"/>
        <v>0</v>
      </c>
    </row>
    <row r="501" spans="1:52">
      <c r="A501" s="269"/>
      <c r="C501" s="19">
        <v>378</v>
      </c>
      <c r="D501" s="86">
        <f ca="1" t="shared" si="233"/>
        <v>242.351842742818</v>
      </c>
      <c r="E501" s="251">
        <f ca="1" t="shared" si="210"/>
        <v>0.329416046187425</v>
      </c>
      <c r="F501" s="269">
        <f ca="1" t="shared" si="226"/>
        <v>494.624264700221</v>
      </c>
      <c r="G501" s="283">
        <f ca="1" t="shared" si="227"/>
        <v>162.937169625909</v>
      </c>
      <c r="H501" s="279">
        <f ca="1" t="shared" si="228"/>
        <v>0.194820640533209</v>
      </c>
      <c r="I501" s="269">
        <f ca="1">SUM($J$125:J501)/SUM($H$125:H501)</f>
        <v>0.502012212524267</v>
      </c>
      <c r="J501" s="284">
        <f t="shared" si="234"/>
        <v>0.0634413177451592</v>
      </c>
      <c r="K501" s="19">
        <f t="shared" si="236"/>
        <v>38700</v>
      </c>
      <c r="L501" s="269">
        <f t="shared" si="229"/>
        <v>2.93499999999996</v>
      </c>
      <c r="M501" s="226">
        <f ca="1" t="shared" si="230"/>
        <v>238.656</v>
      </c>
      <c r="N501" s="280">
        <f ca="1" t="shared" si="235"/>
        <v>0.131379322788064</v>
      </c>
      <c r="O501" s="226">
        <f t="shared" si="240"/>
        <v>105.6</v>
      </c>
      <c r="P501" s="19">
        <f ca="1" t="shared" si="204"/>
        <v>13.6</v>
      </c>
      <c r="Q501" s="226">
        <f ca="1" t="shared" si="239"/>
        <v>2.26</v>
      </c>
      <c r="R501" s="269">
        <f ca="1" t="shared" si="211"/>
        <v>0.797500469161693</v>
      </c>
      <c r="S501" s="266">
        <f ca="1" t="shared" si="212"/>
        <v>74.9210896426333</v>
      </c>
      <c r="T501" s="226">
        <f ca="1">(1+OFFSET('玩法产出(新)'!$C$18,MATCH(X501,'玩法产出(新)'!$B$19:$B$25,0),1)*(1-V501)+OFFSET('玩法产出(新)'!$C$18,1+MATCH(X501,'玩法产出(新)'!$B$19:$B$25,0),1)*(V501))^AA501*(1+OFFSET('玩法产出(新)'!$C$18,MATCH(X501,'玩法产出(新)'!$B$19:$B$25,0),3)*(1-V501)+OFFSET('玩法产出(新)'!$C$18,1+MATCH(X501,'玩法产出(新)'!$B$19:$B$25,0),3)*(V501))^AB501*(1+OFFSET('玩法产出(新)'!$C$18,MATCH(X501,'玩法产出(新)'!$B$19:$B$25,0),4)*(1-V501)+OFFSET('玩法产出(新)'!$C$18,1+MATCH(X501,'玩法产出(新)'!$B$19:$B$25,0),4)*(V501))^AC501*(1+OFFSET('玩法产出(新)'!$C$18,MATCH(X501,'玩法产出(新)'!$B$19:$B$25,0),5)*(1+V501)+OFFSET('玩法产出(新)'!$C$18,1+MATCH(X501,'玩法产出(新)'!$B$19:$B$25,5),1)*(V501))^AD501*(1+OFFSET('玩法产出(新)'!$C$18,MATCH(X501,'玩法产出(新)'!$B$19:$B$25,0),6)*(1+V501)+OFFSET('玩法产出(新)'!$C$18,1+MATCH(X501,'玩法产出(新)'!$B$19:$B$25,0),6)*(V501))^AE501</f>
        <v>159.024720886122</v>
      </c>
      <c r="U501" s="226">
        <f ca="1" t="shared" si="231"/>
        <v>0.134595405654202</v>
      </c>
      <c r="V501" s="226">
        <f ca="1">COUNTIF($X$124:$X501,X501)/(COUNTIF($X$124:$X$723,X501)+1)</f>
        <v>0.54020618556701</v>
      </c>
      <c r="W501" s="19">
        <v>30</v>
      </c>
      <c r="X501" s="19" t="s">
        <v>326</v>
      </c>
      <c r="Y501" s="19">
        <f t="shared" si="237"/>
        <v>38960</v>
      </c>
      <c r="Z501" s="19">
        <f ca="1" t="shared" si="213"/>
        <v>0.269599713402062</v>
      </c>
      <c r="AA501" s="282">
        <f ca="1" t="shared" si="214"/>
        <v>1.4845125</v>
      </c>
      <c r="AB501" s="282">
        <f ca="1" t="shared" si="215"/>
        <v>18</v>
      </c>
      <c r="AC501" s="282">
        <f ca="1" t="shared" si="216"/>
        <v>8.0118</v>
      </c>
      <c r="AD501" s="282">
        <f ca="1" t="shared" si="217"/>
        <v>2.00295</v>
      </c>
      <c r="AE501" s="282">
        <f ca="1" t="shared" si="218"/>
        <v>0.5007375</v>
      </c>
      <c r="AF501" s="19" t="str">
        <f t="shared" si="219"/>
        <v>彩3</v>
      </c>
      <c r="AG501" s="19">
        <f>IFERROR(_xlfn.XLOOKUP(C501+1,[2]基因升级!$E$141:$E$500,[2]基因升级!$D$141:$D$500)-1,AG500)</f>
        <v>107</v>
      </c>
      <c r="AH501" s="19">
        <v>8</v>
      </c>
      <c r="AI501" s="19">
        <f t="shared" si="220"/>
        <v>10.5142500606751</v>
      </c>
      <c r="AJ501" s="19">
        <f t="shared" si="232"/>
        <v>0</v>
      </c>
      <c r="AK501" s="269">
        <v>2.0368</v>
      </c>
      <c r="AL501" s="287">
        <f t="shared" si="241"/>
        <v>16.7599999999998</v>
      </c>
      <c r="AM501" s="287">
        <f t="shared" si="242"/>
        <v>13.1599999999999</v>
      </c>
      <c r="AN501" s="287">
        <f t="shared" si="243"/>
        <v>9.55999999999997</v>
      </c>
      <c r="AO501" s="287">
        <f t="shared" si="238"/>
        <v>5.96</v>
      </c>
      <c r="AP501" s="86"/>
      <c r="AQ501" s="19">
        <f t="shared" si="221"/>
        <v>3.10793633611812</v>
      </c>
      <c r="AR501" s="19">
        <f t="shared" si="222"/>
        <v>2.43607421159942</v>
      </c>
      <c r="AS501" s="19">
        <f t="shared" si="223"/>
        <v>1.909452743756</v>
      </c>
      <c r="AT501" s="19">
        <f t="shared" si="224"/>
        <v>1.49667434730714</v>
      </c>
      <c r="AU501" s="19">
        <f t="shared" si="225"/>
        <v>1</v>
      </c>
      <c r="AV501" s="232">
        <f t="shared" si="205"/>
        <v>0.0399999999999991</v>
      </c>
      <c r="AW501" s="232">
        <f t="shared" si="206"/>
        <v>0.0399999999999991</v>
      </c>
      <c r="AX501" s="232">
        <f t="shared" si="207"/>
        <v>0.0399999999999991</v>
      </c>
      <c r="AY501" s="232">
        <f t="shared" si="208"/>
        <v>0.04</v>
      </c>
      <c r="AZ501" s="232">
        <f t="shared" si="209"/>
        <v>0</v>
      </c>
    </row>
    <row r="502" spans="1:52">
      <c r="A502" s="269"/>
      <c r="C502" s="19">
        <v>379</v>
      </c>
      <c r="D502" s="86">
        <f ca="1" t="shared" si="233"/>
        <v>242.680095792603</v>
      </c>
      <c r="E502" s="251">
        <f ca="1" t="shared" si="210"/>
        <v>0.328253049785114</v>
      </c>
      <c r="F502" s="269">
        <f ca="1" t="shared" si="226"/>
        <v>496.966262005847</v>
      </c>
      <c r="G502" s="283">
        <f ca="1" t="shared" si="227"/>
        <v>163.130691143727</v>
      </c>
      <c r="H502" s="279">
        <f ca="1" t="shared" si="228"/>
        <v>0.193521517818169</v>
      </c>
      <c r="I502" s="269">
        <f ca="1">SUM($J$125:J502)/SUM($H$125:H502)</f>
        <v>0.501791156719369</v>
      </c>
      <c r="J502" s="284">
        <f t="shared" si="234"/>
        <v>0.0632997371456412</v>
      </c>
      <c r="K502" s="19">
        <f t="shared" si="236"/>
        <v>38800</v>
      </c>
      <c r="L502" s="269">
        <f t="shared" si="229"/>
        <v>2.93999999999996</v>
      </c>
      <c r="M502" s="226">
        <f ca="1" t="shared" si="230"/>
        <v>240.768</v>
      </c>
      <c r="N502" s="280">
        <f ca="1" t="shared" si="235"/>
        <v>0.1302217806725</v>
      </c>
      <c r="O502" s="226">
        <f t="shared" si="240"/>
        <v>105.6</v>
      </c>
      <c r="P502" s="19">
        <f ca="1" t="shared" si="204"/>
        <v>13.8</v>
      </c>
      <c r="Q502" s="226">
        <f ca="1" t="shared" si="239"/>
        <v>2.28</v>
      </c>
      <c r="R502" s="269">
        <f ca="1" t="shared" si="211"/>
        <v>0.798934624223599</v>
      </c>
      <c r="S502" s="266">
        <f ca="1" t="shared" si="212"/>
        <v>75.0558211746003</v>
      </c>
      <c r="T502" s="226">
        <f ca="1">(1+OFFSET('玩法产出(新)'!$C$18,MATCH(X502,'玩法产出(新)'!$B$19:$B$25,0),1)*(1-V502)+OFFSET('玩法产出(新)'!$C$18,1+MATCH(X502,'玩法产出(新)'!$B$19:$B$25,0),1)*(V502))^AA502*(1+OFFSET('玩法产出(新)'!$C$18,MATCH(X502,'玩法产出(新)'!$B$19:$B$25,0),3)*(1-V502)+OFFSET('玩法产出(新)'!$C$18,1+MATCH(X502,'玩法产出(新)'!$B$19:$B$25,0),3)*(V502))^AB502*(1+OFFSET('玩法产出(新)'!$C$18,MATCH(X502,'玩法产出(新)'!$B$19:$B$25,0),4)*(1-V502)+OFFSET('玩法产出(新)'!$C$18,1+MATCH(X502,'玩法产出(新)'!$B$19:$B$25,0),4)*(V502))^AC502*(1+OFFSET('玩法产出(新)'!$C$18,MATCH(X502,'玩法产出(新)'!$B$19:$B$25,0),5)*(1+V502)+OFFSET('玩法产出(新)'!$C$18,1+MATCH(X502,'玩法产出(新)'!$B$19:$B$25,5),1)*(V502))^AD502*(1+OFFSET('玩法产出(新)'!$C$18,MATCH(X502,'玩法产出(新)'!$B$19:$B$25,0),6)*(1+V502)+OFFSET('玩法产出(新)'!$C$18,1+MATCH(X502,'玩法产出(新)'!$B$19:$B$25,0),6)*(V502))^AE502</f>
        <v>160.480978377674</v>
      </c>
      <c r="U502" s="226">
        <f ca="1" t="shared" si="231"/>
        <v>0.134731531966973</v>
      </c>
      <c r="V502" s="226">
        <f ca="1">COUNTIF($X$124:$X502,X502)/(COUNTIF($X$124:$X$723,X502)+1)</f>
        <v>0.542268041237113</v>
      </c>
      <c r="W502" s="19">
        <v>30</v>
      </c>
      <c r="X502" s="19" t="s">
        <v>326</v>
      </c>
      <c r="Y502" s="19">
        <f t="shared" si="237"/>
        <v>39060</v>
      </c>
      <c r="Z502" s="19">
        <f ca="1" t="shared" si="213"/>
        <v>0.264750067268041</v>
      </c>
      <c r="AA502" s="282">
        <f ca="1" t="shared" si="214"/>
        <v>1.457146875</v>
      </c>
      <c r="AB502" s="282">
        <f ca="1" t="shared" si="215"/>
        <v>18</v>
      </c>
      <c r="AC502" s="282">
        <f ca="1" t="shared" si="216"/>
        <v>8.03265</v>
      </c>
      <c r="AD502" s="282">
        <f ca="1" t="shared" si="217"/>
        <v>2.0081625</v>
      </c>
      <c r="AE502" s="282">
        <f ca="1" t="shared" si="218"/>
        <v>0.502040625</v>
      </c>
      <c r="AF502" s="19" t="str">
        <f t="shared" si="219"/>
        <v>彩3</v>
      </c>
      <c r="AG502" s="19">
        <f>IFERROR(_xlfn.XLOOKUP(C502+1,[2]基因升级!$E$141:$E$500,[2]基因升级!$D$141:$D$500)-1,AG501)</f>
        <v>107</v>
      </c>
      <c r="AH502" s="19">
        <v>8</v>
      </c>
      <c r="AI502" s="19">
        <f t="shared" si="220"/>
        <v>10.5142500606751</v>
      </c>
      <c r="AJ502" s="19">
        <f t="shared" si="232"/>
        <v>0</v>
      </c>
      <c r="AK502" s="269">
        <v>2.0368</v>
      </c>
      <c r="AL502" s="287">
        <f t="shared" si="241"/>
        <v>16.7999999999998</v>
      </c>
      <c r="AM502" s="287">
        <f t="shared" si="242"/>
        <v>13.1999999999999</v>
      </c>
      <c r="AN502" s="287">
        <f t="shared" si="243"/>
        <v>9.59999999999997</v>
      </c>
      <c r="AO502" s="287">
        <f t="shared" si="238"/>
        <v>6</v>
      </c>
      <c r="AP502" s="86"/>
      <c r="AQ502" s="19">
        <f t="shared" si="221"/>
        <v>3.11635887901651</v>
      </c>
      <c r="AR502" s="19">
        <f t="shared" si="222"/>
        <v>2.44267600048177</v>
      </c>
      <c r="AS502" s="19">
        <f t="shared" si="223"/>
        <v>1.91462738245752</v>
      </c>
      <c r="AT502" s="19">
        <f t="shared" si="224"/>
        <v>1.500730351849</v>
      </c>
      <c r="AU502" s="19">
        <f t="shared" si="225"/>
        <v>1</v>
      </c>
      <c r="AV502" s="232">
        <f t="shared" si="205"/>
        <v>0.0399999999999991</v>
      </c>
      <c r="AW502" s="232">
        <f t="shared" si="206"/>
        <v>0.0399999999999991</v>
      </c>
      <c r="AX502" s="232">
        <f t="shared" si="207"/>
        <v>0.0399999999999991</v>
      </c>
      <c r="AY502" s="232">
        <f t="shared" si="208"/>
        <v>0.04</v>
      </c>
      <c r="AZ502" s="232">
        <f t="shared" si="209"/>
        <v>0</v>
      </c>
    </row>
    <row r="503" spans="1:52">
      <c r="A503" s="269"/>
      <c r="C503" s="19">
        <v>380</v>
      </c>
      <c r="D503" s="86">
        <f ca="1" t="shared" si="233"/>
        <v>243.007206642461</v>
      </c>
      <c r="E503" s="251">
        <f ca="1" t="shared" si="210"/>
        <v>0.327110849857776</v>
      </c>
      <c r="F503" s="269">
        <f ca="1" t="shared" si="226"/>
        <v>499.289260760136</v>
      </c>
      <c r="G503" s="283">
        <f ca="1" t="shared" si="227"/>
        <v>163.322934412109</v>
      </c>
      <c r="H503" s="279">
        <f ca="1" t="shared" si="228"/>
        <v>0.192243268381588</v>
      </c>
      <c r="I503" s="269">
        <f ca="1">SUM($J$125:J503)/SUM($H$125:H503)</f>
        <v>0.501573921367196</v>
      </c>
      <c r="J503" s="284">
        <f t="shared" si="234"/>
        <v>0.0631588103594254</v>
      </c>
      <c r="K503" s="19">
        <f t="shared" si="236"/>
        <v>38900</v>
      </c>
      <c r="L503" s="269">
        <f t="shared" si="229"/>
        <v>2.94499999999996</v>
      </c>
      <c r="M503" s="226">
        <f ca="1" t="shared" si="230"/>
        <v>242.88</v>
      </c>
      <c r="N503" s="280">
        <f ca="1" t="shared" si="235"/>
        <v>0.129084458022163</v>
      </c>
      <c r="O503" s="226">
        <f t="shared" si="240"/>
        <v>105.6</v>
      </c>
      <c r="P503" s="19">
        <f ca="1" t="shared" ref="P503:P566" si="244">IF(O503=O502,P502+OFFSET($H$75,MATCH(P502,$G$76:$G$84,1),0),10)</f>
        <v>14</v>
      </c>
      <c r="Q503" s="226">
        <f ca="1" t="shared" si="239"/>
        <v>2.3</v>
      </c>
      <c r="R503" s="269">
        <f ca="1" t="shared" si="211"/>
        <v>0.800370227469828</v>
      </c>
      <c r="S503" s="266">
        <f ca="1" t="shared" si="212"/>
        <v>75.1906887560765</v>
      </c>
      <c r="T503" s="226">
        <f ca="1">(1+OFFSET('玩法产出(新)'!$C$18,MATCH(X503,'玩法产出(新)'!$B$19:$B$25,0),1)*(1-V503)+OFFSET('玩法产出(新)'!$C$18,1+MATCH(X503,'玩法产出(新)'!$B$19:$B$25,0),1)*(V503))^AA503*(1+OFFSET('玩法产出(新)'!$C$18,MATCH(X503,'玩法产出(新)'!$B$19:$B$25,0),3)*(1-V503)+OFFSET('玩法产出(新)'!$C$18,1+MATCH(X503,'玩法产出(新)'!$B$19:$B$25,0),3)*(V503))^AB503*(1+OFFSET('玩法产出(新)'!$C$18,MATCH(X503,'玩法产出(新)'!$B$19:$B$25,0),4)*(1-V503)+OFFSET('玩法产出(新)'!$C$18,1+MATCH(X503,'玩法产出(新)'!$B$19:$B$25,0),4)*(V503))^AC503*(1+OFFSET('玩法产出(新)'!$C$18,MATCH(X503,'玩法产出(新)'!$B$19:$B$25,0),5)*(1+V503)+OFFSET('玩法产出(新)'!$C$18,1+MATCH(X503,'玩法产出(新)'!$B$19:$B$25,5),1)*(V503))^AD503*(1+OFFSET('玩法产出(新)'!$C$18,MATCH(X503,'玩法产出(新)'!$B$19:$B$25,0),6)*(1+V503)+OFFSET('玩法产出(新)'!$C$18,1+MATCH(X503,'玩法产出(新)'!$B$19:$B$25,0),6)*(V503))^AE503</f>
        <v>161.952062192776</v>
      </c>
      <c r="U503" s="226">
        <f ca="1" t="shared" si="231"/>
        <v>0.134867581476187</v>
      </c>
      <c r="V503" s="226">
        <f ca="1">COUNTIF($X$124:$X503,X503)/(COUNTIF($X$124:$X$723,X503)+1)</f>
        <v>0.544329896907216</v>
      </c>
      <c r="W503" s="19">
        <v>30</v>
      </c>
      <c r="X503" s="19" t="s">
        <v>326</v>
      </c>
      <c r="Y503" s="19">
        <f t="shared" si="237"/>
        <v>39160</v>
      </c>
      <c r="Z503" s="19">
        <f ca="1" t="shared" si="213"/>
        <v>0.259895907216495</v>
      </c>
      <c r="AA503" s="282">
        <f ca="1" t="shared" si="214"/>
        <v>1.42978125</v>
      </c>
      <c r="AB503" s="282">
        <f ca="1" t="shared" si="215"/>
        <v>18</v>
      </c>
      <c r="AC503" s="282">
        <f ca="1" t="shared" si="216"/>
        <v>8.0535</v>
      </c>
      <c r="AD503" s="282">
        <f ca="1" t="shared" si="217"/>
        <v>2.013375</v>
      </c>
      <c r="AE503" s="282">
        <f ca="1" t="shared" si="218"/>
        <v>0.50334375</v>
      </c>
      <c r="AF503" s="19" t="str">
        <f t="shared" si="219"/>
        <v>彩3</v>
      </c>
      <c r="AG503" s="19">
        <f>IFERROR(_xlfn.XLOOKUP(C503+1,[2]基因升级!$E$141:$E$500,[2]基因升级!$D$141:$D$500)-1,AG502)</f>
        <v>107</v>
      </c>
      <c r="AH503" s="19">
        <v>8</v>
      </c>
      <c r="AI503" s="19">
        <f t="shared" si="220"/>
        <v>10.5142500606751</v>
      </c>
      <c r="AJ503" s="19">
        <f t="shared" si="232"/>
        <v>0</v>
      </c>
      <c r="AK503" s="269">
        <v>2.0368</v>
      </c>
      <c r="AL503" s="287">
        <f t="shared" si="241"/>
        <v>16.8399999999998</v>
      </c>
      <c r="AM503" s="287">
        <f t="shared" si="242"/>
        <v>13.2399999999999</v>
      </c>
      <c r="AN503" s="287">
        <f t="shared" si="243"/>
        <v>9.63999999999997</v>
      </c>
      <c r="AO503" s="287">
        <f t="shared" si="238"/>
        <v>6.04</v>
      </c>
      <c r="AP503" s="86"/>
      <c r="AQ503" s="19">
        <f t="shared" si="221"/>
        <v>3.12480424710215</v>
      </c>
      <c r="AR503" s="19">
        <f t="shared" si="222"/>
        <v>2.44929568028725</v>
      </c>
      <c r="AS503" s="19">
        <f t="shared" si="223"/>
        <v>1.9198160444889</v>
      </c>
      <c r="AT503" s="19">
        <f t="shared" si="224"/>
        <v>1.5047973482094</v>
      </c>
      <c r="AU503" s="19">
        <f t="shared" si="225"/>
        <v>1</v>
      </c>
      <c r="AV503" s="232">
        <f t="shared" ref="AV503:AV566" si="245">AL503-AL502</f>
        <v>0.0399999999999991</v>
      </c>
      <c r="AW503" s="232">
        <f t="shared" ref="AW503:AW566" si="246">AM503-AM502</f>
        <v>0.0399999999999991</v>
      </c>
      <c r="AX503" s="232">
        <f t="shared" ref="AX503:AX566" si="247">AN503-AN502</f>
        <v>0.0399999999999991</v>
      </c>
      <c r="AY503" s="232">
        <f t="shared" ref="AY503:AY566" si="248">AO503-AO502</f>
        <v>0.04</v>
      </c>
      <c r="AZ503" s="232">
        <f t="shared" ref="AZ503:AZ566" si="249">AP503-AP502</f>
        <v>0</v>
      </c>
    </row>
    <row r="504" spans="1:52">
      <c r="A504" s="269"/>
      <c r="C504" s="19">
        <v>381</v>
      </c>
      <c r="D504" s="86">
        <f ca="1" t="shared" si="233"/>
        <v>243.333195559112</v>
      </c>
      <c r="E504" s="251">
        <f ca="1" t="shared" si="210"/>
        <v>0.325988916650878</v>
      </c>
      <c r="F504" s="269">
        <f ca="1" t="shared" si="226"/>
        <v>501.593494203364</v>
      </c>
      <c r="G504" s="283">
        <f ca="1" t="shared" si="227"/>
        <v>163.513919774483</v>
      </c>
      <c r="H504" s="279">
        <f ca="1" t="shared" si="228"/>
        <v>0.190985362374477</v>
      </c>
      <c r="I504" s="269">
        <f ca="1">SUM($J$125:J504)/SUM($H$125:H504)</f>
        <v>0.501360424477491</v>
      </c>
      <c r="J504" s="284">
        <f t="shared" si="234"/>
        <v>0.0630185327316184</v>
      </c>
      <c r="K504" s="19">
        <f t="shared" si="236"/>
        <v>39000</v>
      </c>
      <c r="L504" s="269">
        <f t="shared" si="229"/>
        <v>2.94999999999996</v>
      </c>
      <c r="M504" s="226">
        <f ca="1" t="shared" si="230"/>
        <v>244.992</v>
      </c>
      <c r="N504" s="280">
        <f ca="1" t="shared" si="235"/>
        <v>0.127966829642858</v>
      </c>
      <c r="O504" s="226">
        <f t="shared" si="240"/>
        <v>105.6</v>
      </c>
      <c r="P504" s="19">
        <f ca="1" t="shared" si="244"/>
        <v>14.2</v>
      </c>
      <c r="Q504" s="226">
        <f ca="1" t="shared" si="239"/>
        <v>2.32</v>
      </c>
      <c r="R504" s="269">
        <f ca="1" t="shared" si="211"/>
        <v>0.801807278083847</v>
      </c>
      <c r="S504" s="266">
        <f ca="1" t="shared" si="212"/>
        <v>75.3256923103529</v>
      </c>
      <c r="T504" s="226">
        <f ca="1">(1+OFFSET('玩法产出(新)'!$C$18,MATCH(X504,'玩法产出(新)'!$B$19:$B$25,0),1)*(1-V504)+OFFSET('玩法产出(新)'!$C$18,1+MATCH(X504,'玩法产出(新)'!$B$19:$B$25,0),1)*(V504))^AA504*(1+OFFSET('玩法产出(新)'!$C$18,MATCH(X504,'玩法产出(新)'!$B$19:$B$25,0),3)*(1-V504)+OFFSET('玩法产出(新)'!$C$18,1+MATCH(X504,'玩法产出(新)'!$B$19:$B$25,0),3)*(V504))^AB504*(1+OFFSET('玩法产出(新)'!$C$18,MATCH(X504,'玩法产出(新)'!$B$19:$B$25,0),4)*(1-V504)+OFFSET('玩法产出(新)'!$C$18,1+MATCH(X504,'玩法产出(新)'!$B$19:$B$25,0),4)*(V504))^AC504*(1+OFFSET('玩法产出(新)'!$C$18,MATCH(X504,'玩法产出(新)'!$B$19:$B$25,0),5)*(1+V504)+OFFSET('玩法产出(新)'!$C$18,1+MATCH(X504,'玩法产出(新)'!$B$19:$B$25,5),1)*(V504))^AD504*(1+OFFSET('玩法产出(新)'!$C$18,MATCH(X504,'玩法产出(新)'!$B$19:$B$25,0),6)*(1+V504)+OFFSET('玩法产出(新)'!$C$18,1+MATCH(X504,'玩法产出(新)'!$B$19:$B$25,0),6)*(V504))^AE504</f>
        <v>163.43813459859</v>
      </c>
      <c r="U504" s="226">
        <f ca="1" t="shared" si="231"/>
        <v>0.135003554276402</v>
      </c>
      <c r="V504" s="226">
        <f ca="1">COUNTIF($X$124:$X504,X504)/(COUNTIF($X$124:$X$723,X504)+1)</f>
        <v>0.54639175257732</v>
      </c>
      <c r="W504" s="19">
        <v>30</v>
      </c>
      <c r="X504" s="19" t="s">
        <v>326</v>
      </c>
      <c r="Y504" s="19">
        <f t="shared" si="237"/>
        <v>39260</v>
      </c>
      <c r="Z504" s="19">
        <f ca="1" t="shared" si="213"/>
        <v>0.255037233247423</v>
      </c>
      <c r="AA504" s="282">
        <f ca="1" t="shared" si="214"/>
        <v>1.402415625</v>
      </c>
      <c r="AB504" s="282">
        <f ca="1" t="shared" si="215"/>
        <v>18</v>
      </c>
      <c r="AC504" s="282">
        <f ca="1" t="shared" si="216"/>
        <v>8.07435</v>
      </c>
      <c r="AD504" s="282">
        <f ca="1" t="shared" si="217"/>
        <v>2.0185875</v>
      </c>
      <c r="AE504" s="282">
        <f ca="1" t="shared" si="218"/>
        <v>0.504646875</v>
      </c>
      <c r="AF504" s="19" t="str">
        <f t="shared" si="219"/>
        <v>彩3</v>
      </c>
      <c r="AG504" s="19">
        <f>IFERROR(_xlfn.XLOOKUP(C504+1,[2]基因升级!$E$141:$E$500,[2]基因升级!$D$141:$D$500)-1,AG503)</f>
        <v>107</v>
      </c>
      <c r="AH504" s="19">
        <v>8</v>
      </c>
      <c r="AI504" s="19">
        <f t="shared" si="220"/>
        <v>10.5142500606751</v>
      </c>
      <c r="AJ504" s="19">
        <f t="shared" si="232"/>
        <v>0</v>
      </c>
      <c r="AK504" s="269">
        <v>2.0368</v>
      </c>
      <c r="AL504" s="287">
        <f t="shared" si="241"/>
        <v>16.8799999999998</v>
      </c>
      <c r="AM504" s="287">
        <f t="shared" si="242"/>
        <v>13.2799999999999</v>
      </c>
      <c r="AN504" s="287">
        <f t="shared" si="243"/>
        <v>9.67999999999996</v>
      </c>
      <c r="AO504" s="287">
        <f t="shared" si="238"/>
        <v>6.08</v>
      </c>
      <c r="AP504" s="86"/>
      <c r="AQ504" s="19">
        <f t="shared" si="221"/>
        <v>3.13327250223159</v>
      </c>
      <c r="AR504" s="19">
        <f t="shared" si="222"/>
        <v>2.45593329950046</v>
      </c>
      <c r="AS504" s="19">
        <f t="shared" si="223"/>
        <v>1.92501876785354</v>
      </c>
      <c r="AT504" s="19">
        <f t="shared" si="224"/>
        <v>1.5088753661763</v>
      </c>
      <c r="AU504" s="19">
        <f t="shared" si="225"/>
        <v>1</v>
      </c>
      <c r="AV504" s="232">
        <f t="shared" si="245"/>
        <v>0.0399999999999991</v>
      </c>
      <c r="AW504" s="232">
        <f t="shared" si="246"/>
        <v>0.0399999999999991</v>
      </c>
      <c r="AX504" s="232">
        <f t="shared" si="247"/>
        <v>0.0399999999999991</v>
      </c>
      <c r="AY504" s="232">
        <f t="shared" si="248"/>
        <v>0.04</v>
      </c>
      <c r="AZ504" s="232">
        <f t="shared" si="249"/>
        <v>0</v>
      </c>
    </row>
    <row r="505" spans="1:52">
      <c r="A505" s="269"/>
      <c r="C505" s="19">
        <v>382</v>
      </c>
      <c r="D505" s="86">
        <f ca="1" t="shared" si="233"/>
        <v>243.658082297599</v>
      </c>
      <c r="E505" s="251">
        <f ca="1" t="shared" si="210"/>
        <v>0.324886738487868</v>
      </c>
      <c r="F505" s="269">
        <f ca="1" t="shared" si="226"/>
        <v>503.879191328156</v>
      </c>
      <c r="G505" s="283">
        <f ca="1" t="shared" si="227"/>
        <v>163.703667062509</v>
      </c>
      <c r="H505" s="279">
        <f ca="1" t="shared" si="228"/>
        <v>0.189747288025785</v>
      </c>
      <c r="I505" s="269">
        <f ca="1">SUM($J$125:J505)/SUM($H$125:H505)</f>
        <v>0.501150586405101</v>
      </c>
      <c r="J505" s="284">
        <f t="shared" si="234"/>
        <v>0.0628788996524747</v>
      </c>
      <c r="K505" s="19">
        <f t="shared" si="236"/>
        <v>39100</v>
      </c>
      <c r="L505" s="269">
        <f t="shared" si="229"/>
        <v>2.95499999999996</v>
      </c>
      <c r="M505" s="226">
        <f ca="1" t="shared" si="230"/>
        <v>247.104</v>
      </c>
      <c r="N505" s="280">
        <f ca="1" t="shared" si="235"/>
        <v>0.126868388373339</v>
      </c>
      <c r="O505" s="226">
        <f t="shared" si="240"/>
        <v>105.6</v>
      </c>
      <c r="P505" s="19">
        <f ca="1" t="shared" si="244"/>
        <v>14.4</v>
      </c>
      <c r="Q505" s="226">
        <f ca="1" t="shared" si="239"/>
        <v>2.34</v>
      </c>
      <c r="R505" s="269">
        <f ca="1" t="shared" si="211"/>
        <v>0.80324577525013</v>
      </c>
      <c r="S505" s="266">
        <f ca="1" t="shared" si="212"/>
        <v>75.4608317608149</v>
      </c>
      <c r="T505" s="226">
        <f ca="1">(1+OFFSET('玩法产出(新)'!$C$18,MATCH(X505,'玩法产出(新)'!$B$19:$B$25,0),1)*(1-V505)+OFFSET('玩法产出(新)'!$C$18,1+MATCH(X505,'玩法产出(新)'!$B$19:$B$25,0),1)*(V505))^AA505*(1+OFFSET('玩法产出(新)'!$C$18,MATCH(X505,'玩法产出(新)'!$B$19:$B$25,0),3)*(1-V505)+OFFSET('玩法产出(新)'!$C$18,1+MATCH(X505,'玩法产出(新)'!$B$19:$B$25,0),3)*(V505))^AB505*(1+OFFSET('玩法产出(新)'!$C$18,MATCH(X505,'玩法产出(新)'!$B$19:$B$25,0),4)*(1-V505)+OFFSET('玩法产出(新)'!$C$18,1+MATCH(X505,'玩法产出(新)'!$B$19:$B$25,0),4)*(V505))^AC505*(1+OFFSET('玩法产出(新)'!$C$18,MATCH(X505,'玩法产出(新)'!$B$19:$B$25,0),5)*(1+V505)+OFFSET('玩法产出(新)'!$C$18,1+MATCH(X505,'玩法产出(新)'!$B$19:$B$25,5),1)*(V505))^AD505*(1+OFFSET('玩法产出(新)'!$C$18,MATCH(X505,'玩法产出(新)'!$B$19:$B$25,0),6)*(1+V505)+OFFSET('玩法产出(新)'!$C$18,1+MATCH(X505,'玩法产出(新)'!$B$19:$B$25,0),6)*(V505))^AE505</f>
        <v>164.939359743988</v>
      </c>
      <c r="U505" s="226">
        <f ca="1" t="shared" si="231"/>
        <v>0.135139450462055</v>
      </c>
      <c r="V505" s="226">
        <f ca="1">COUNTIF($X$124:$X505,X505)/(COUNTIF($X$124:$X$723,X505)+1)</f>
        <v>0.548453608247423</v>
      </c>
      <c r="W505" s="19">
        <v>30</v>
      </c>
      <c r="X505" s="19" t="s">
        <v>326</v>
      </c>
      <c r="Y505" s="19">
        <f t="shared" si="237"/>
        <v>39360</v>
      </c>
      <c r="Z505" s="19">
        <f ca="1" t="shared" si="213"/>
        <v>0.250174045360825</v>
      </c>
      <c r="AA505" s="282">
        <f ca="1" t="shared" si="214"/>
        <v>1.37505</v>
      </c>
      <c r="AB505" s="282">
        <f ca="1" t="shared" si="215"/>
        <v>18</v>
      </c>
      <c r="AC505" s="282">
        <f ca="1" t="shared" si="216"/>
        <v>8.0952</v>
      </c>
      <c r="AD505" s="282">
        <f ca="1" t="shared" si="217"/>
        <v>2.0238</v>
      </c>
      <c r="AE505" s="282">
        <f ca="1" t="shared" si="218"/>
        <v>0.50595</v>
      </c>
      <c r="AF505" s="19" t="str">
        <f t="shared" si="219"/>
        <v>彩3</v>
      </c>
      <c r="AG505" s="19">
        <f>IFERROR(_xlfn.XLOOKUP(C505+1,[2]基因升级!$E$141:$E$500,[2]基因升级!$D$141:$D$500)-1,AG504)</f>
        <v>107</v>
      </c>
      <c r="AH505" s="19">
        <v>8</v>
      </c>
      <c r="AI505" s="19">
        <f t="shared" si="220"/>
        <v>10.5142500606751</v>
      </c>
      <c r="AJ505" s="19">
        <f t="shared" si="232"/>
        <v>0</v>
      </c>
      <c r="AK505" s="269">
        <v>2.0368</v>
      </c>
      <c r="AL505" s="287">
        <f t="shared" si="241"/>
        <v>16.9199999999998</v>
      </c>
      <c r="AM505" s="287">
        <f t="shared" si="242"/>
        <v>13.3199999999999</v>
      </c>
      <c r="AN505" s="287">
        <f t="shared" si="243"/>
        <v>9.71999999999996</v>
      </c>
      <c r="AO505" s="287">
        <f t="shared" si="238"/>
        <v>6.12</v>
      </c>
      <c r="AP505" s="86"/>
      <c r="AQ505" s="19">
        <f t="shared" si="221"/>
        <v>3.14176370642895</v>
      </c>
      <c r="AR505" s="19">
        <f t="shared" si="222"/>
        <v>2.4625889067374</v>
      </c>
      <c r="AS505" s="19">
        <f t="shared" si="223"/>
        <v>1.93023559065779</v>
      </c>
      <c r="AT505" s="19">
        <f t="shared" si="224"/>
        <v>1.51296443561838</v>
      </c>
      <c r="AU505" s="19">
        <f t="shared" si="225"/>
        <v>1</v>
      </c>
      <c r="AV505" s="232">
        <f t="shared" si="245"/>
        <v>0.0399999999999991</v>
      </c>
      <c r="AW505" s="232">
        <f t="shared" si="246"/>
        <v>0.0399999999999991</v>
      </c>
      <c r="AX505" s="232">
        <f t="shared" si="247"/>
        <v>0.0399999999999991</v>
      </c>
      <c r="AY505" s="232">
        <f t="shared" si="248"/>
        <v>0.04</v>
      </c>
      <c r="AZ505" s="232">
        <f t="shared" si="249"/>
        <v>0</v>
      </c>
    </row>
    <row r="506" spans="1:52">
      <c r="A506" s="269"/>
      <c r="C506" s="19">
        <v>383</v>
      </c>
      <c r="D506" s="86">
        <f ca="1" t="shared" si="233"/>
        <v>243.981886118602</v>
      </c>
      <c r="E506" s="251">
        <f ca="1" t="shared" si="210"/>
        <v>0.323803821002155</v>
      </c>
      <c r="F506" s="269">
        <f ca="1" t="shared" si="226"/>
        <v>506.146576980304</v>
      </c>
      <c r="G506" s="283">
        <f ca="1" t="shared" si="227"/>
        <v>163.892195613384</v>
      </c>
      <c r="H506" s="279">
        <f ca="1" t="shared" si="228"/>
        <v>0.188528550874793</v>
      </c>
      <c r="I506" s="269">
        <f ca="1">SUM($J$125:J506)/SUM($H$125:H506)</f>
        <v>0.500944329764589</v>
      </c>
      <c r="J506" s="284">
        <f t="shared" si="234"/>
        <v>0.0627399065567573</v>
      </c>
      <c r="K506" s="19">
        <f t="shared" si="236"/>
        <v>39200</v>
      </c>
      <c r="L506" s="269">
        <f t="shared" si="229"/>
        <v>2.95999999999996</v>
      </c>
      <c r="M506" s="226">
        <f ca="1" t="shared" si="230"/>
        <v>249.216</v>
      </c>
      <c r="N506" s="280">
        <f ca="1" t="shared" si="235"/>
        <v>0.125788644317993</v>
      </c>
      <c r="O506" s="226">
        <f t="shared" si="240"/>
        <v>105.6</v>
      </c>
      <c r="P506" s="19">
        <f ca="1" t="shared" si="244"/>
        <v>14.6</v>
      </c>
      <c r="Q506" s="226">
        <f ca="1" t="shared" si="239"/>
        <v>2.36</v>
      </c>
      <c r="R506" s="269">
        <f ca="1" t="shared" si="211"/>
        <v>0.804685718154153</v>
      </c>
      <c r="S506" s="266">
        <f ca="1" t="shared" si="212"/>
        <v>75.5961070309423</v>
      </c>
      <c r="T506" s="226">
        <f ca="1">(1+OFFSET('玩法产出(新)'!$C$18,MATCH(X506,'玩法产出(新)'!$B$19:$B$25,0),1)*(1-V506)+OFFSET('玩法产出(新)'!$C$18,1+MATCH(X506,'玩法产出(新)'!$B$19:$B$25,0),1)*(V506))^AA506*(1+OFFSET('玩法产出(新)'!$C$18,MATCH(X506,'玩法产出(新)'!$B$19:$B$25,0),3)*(1-V506)+OFFSET('玩法产出(新)'!$C$18,1+MATCH(X506,'玩法产出(新)'!$B$19:$B$25,0),3)*(V506))^AB506*(1+OFFSET('玩法产出(新)'!$C$18,MATCH(X506,'玩法产出(新)'!$B$19:$B$25,0),4)*(1-V506)+OFFSET('玩法产出(新)'!$C$18,1+MATCH(X506,'玩法产出(新)'!$B$19:$B$25,0),4)*(V506))^AC506*(1+OFFSET('玩法产出(新)'!$C$18,MATCH(X506,'玩法产出(新)'!$B$19:$B$25,0),5)*(1+V506)+OFFSET('玩法产出(新)'!$C$18,1+MATCH(X506,'玩法产出(新)'!$B$19:$B$25,5),1)*(V506))^AD506*(1+OFFSET('玩法产出(新)'!$C$18,MATCH(X506,'玩法产出(新)'!$B$19:$B$25,0),6)*(1+V506)+OFFSET('玩法产出(新)'!$C$18,1+MATCH(X506,'玩法产出(新)'!$B$19:$B$25,0),6)*(V506))^AE506</f>
        <v>166.455903682449</v>
      </c>
      <c r="U506" s="226">
        <f ca="1" t="shared" si="231"/>
        <v>0.135275270127405</v>
      </c>
      <c r="V506" s="226">
        <f ca="1">COUNTIF($X$124:$X506,X506)/(COUNTIF($X$124:$X$723,X506)+1)</f>
        <v>0.550515463917526</v>
      </c>
      <c r="W506" s="19">
        <v>30</v>
      </c>
      <c r="X506" s="19" t="s">
        <v>326</v>
      </c>
      <c r="Y506" s="19">
        <f t="shared" si="237"/>
        <v>39460</v>
      </c>
      <c r="Z506" s="19">
        <f ca="1" t="shared" si="213"/>
        <v>0.245306343556701</v>
      </c>
      <c r="AA506" s="282">
        <f ca="1" t="shared" si="214"/>
        <v>1.347684375</v>
      </c>
      <c r="AB506" s="282">
        <f ca="1" t="shared" si="215"/>
        <v>18</v>
      </c>
      <c r="AC506" s="282">
        <f ca="1" t="shared" si="216"/>
        <v>8.11605</v>
      </c>
      <c r="AD506" s="282">
        <f ca="1" t="shared" si="217"/>
        <v>2.0290125</v>
      </c>
      <c r="AE506" s="282">
        <f ca="1" t="shared" si="218"/>
        <v>0.507253125</v>
      </c>
      <c r="AF506" s="19" t="str">
        <f t="shared" si="219"/>
        <v>彩3</v>
      </c>
      <c r="AG506" s="19">
        <f>IFERROR(_xlfn.XLOOKUP(C506+1,[2]基因升级!$E$141:$E$500,[2]基因升级!$D$141:$D$500)-1,AG505)</f>
        <v>107</v>
      </c>
      <c r="AH506" s="19">
        <v>8</v>
      </c>
      <c r="AI506" s="19">
        <f t="shared" si="220"/>
        <v>10.5142500606751</v>
      </c>
      <c r="AJ506" s="19">
        <f t="shared" si="232"/>
        <v>0</v>
      </c>
      <c r="AK506" s="269">
        <v>2.0368</v>
      </c>
      <c r="AL506" s="287">
        <f t="shared" si="241"/>
        <v>16.9599999999998</v>
      </c>
      <c r="AM506" s="287">
        <f t="shared" si="242"/>
        <v>13.3599999999999</v>
      </c>
      <c r="AN506" s="287">
        <f t="shared" si="243"/>
        <v>9.75999999999996</v>
      </c>
      <c r="AO506" s="287">
        <f t="shared" si="238"/>
        <v>6.16</v>
      </c>
      <c r="AP506" s="86"/>
      <c r="AQ506" s="19">
        <f t="shared" si="221"/>
        <v>3.15027792188648</v>
      </c>
      <c r="AR506" s="19">
        <f t="shared" si="222"/>
        <v>2.46926255074582</v>
      </c>
      <c r="AS506" s="19">
        <f t="shared" si="223"/>
        <v>1.93546655111132</v>
      </c>
      <c r="AT506" s="19">
        <f t="shared" si="224"/>
        <v>1.51706458648526</v>
      </c>
      <c r="AU506" s="19">
        <f t="shared" si="225"/>
        <v>1</v>
      </c>
      <c r="AV506" s="232">
        <f t="shared" si="245"/>
        <v>0.0399999999999991</v>
      </c>
      <c r="AW506" s="232">
        <f t="shared" si="246"/>
        <v>0.0399999999999991</v>
      </c>
      <c r="AX506" s="232">
        <f t="shared" si="247"/>
        <v>0.0399999999999991</v>
      </c>
      <c r="AY506" s="232">
        <f t="shared" si="248"/>
        <v>0.04</v>
      </c>
      <c r="AZ506" s="232">
        <f t="shared" si="249"/>
        <v>0</v>
      </c>
    </row>
    <row r="507" spans="1:52">
      <c r="A507" s="269"/>
      <c r="C507" s="19">
        <v>384</v>
      </c>
      <c r="D507" s="86">
        <f ca="1" t="shared" si="233"/>
        <v>244.30462580501</v>
      </c>
      <c r="E507" s="251">
        <f ca="1" t="shared" si="210"/>
        <v>0.322739686408023</v>
      </c>
      <c r="F507" s="269">
        <f ca="1" t="shared" si="226"/>
        <v>508.395871956658</v>
      </c>
      <c r="G507" s="283">
        <f ca="1" t="shared" si="227"/>
        <v>164.079524286425</v>
      </c>
      <c r="H507" s="279">
        <f ca="1" t="shared" si="228"/>
        <v>0.18732867304152</v>
      </c>
      <c r="I507" s="269">
        <f ca="1">SUM($J$125:J507)/SUM($H$125:H507)</f>
        <v>0.500741579348635</v>
      </c>
      <c r="J507" s="284">
        <f t="shared" si="234"/>
        <v>0.0626015489233112</v>
      </c>
      <c r="K507" s="19">
        <f t="shared" si="236"/>
        <v>39300</v>
      </c>
      <c r="L507" s="269">
        <f t="shared" si="229"/>
        <v>2.96499999999996</v>
      </c>
      <c r="M507" s="226">
        <f ca="1" t="shared" si="230"/>
        <v>251.328</v>
      </c>
      <c r="N507" s="280">
        <f ca="1" t="shared" si="235"/>
        <v>0.124727124118223</v>
      </c>
      <c r="O507" s="226">
        <f t="shared" si="240"/>
        <v>105.6</v>
      </c>
      <c r="P507" s="19">
        <f ca="1" t="shared" si="244"/>
        <v>14.8</v>
      </c>
      <c r="Q507" s="226">
        <f ca="1" t="shared" si="239"/>
        <v>2.38</v>
      </c>
      <c r="R507" s="269">
        <f ca="1" t="shared" si="211"/>
        <v>0.806127105982394</v>
      </c>
      <c r="S507" s="266">
        <f ca="1" t="shared" si="212"/>
        <v>75.7315180443088</v>
      </c>
      <c r="T507" s="226">
        <f ca="1">(1+OFFSET('玩法产出(新)'!$C$18,MATCH(X507,'玩法产出(新)'!$B$19:$B$25,0),1)*(1-V507)+OFFSET('玩法产出(新)'!$C$18,1+MATCH(X507,'玩法产出(新)'!$B$19:$B$25,0),1)*(V507))^AA507*(1+OFFSET('玩法产出(新)'!$C$18,MATCH(X507,'玩法产出(新)'!$B$19:$B$25,0),3)*(1-V507)+OFFSET('玩法产出(新)'!$C$18,1+MATCH(X507,'玩法产出(新)'!$B$19:$B$25,0),3)*(V507))^AB507*(1+OFFSET('玩法产出(新)'!$C$18,MATCH(X507,'玩法产出(新)'!$B$19:$B$25,0),4)*(1-V507)+OFFSET('玩法产出(新)'!$C$18,1+MATCH(X507,'玩法产出(新)'!$B$19:$B$25,0),4)*(V507))^AC507*(1+OFFSET('玩法产出(新)'!$C$18,MATCH(X507,'玩法产出(新)'!$B$19:$B$25,0),5)*(1+V507)+OFFSET('玩法产出(新)'!$C$18,1+MATCH(X507,'玩法产出(新)'!$B$19:$B$25,5),1)*(V507))^AD507*(1+OFFSET('玩法产出(新)'!$C$18,MATCH(X507,'玩法产出(新)'!$B$19:$B$25,0),6)*(1+V507)+OFFSET('玩法产出(新)'!$C$18,1+MATCH(X507,'玩法产出(新)'!$B$19:$B$25,0),6)*(V507))^AE507</f>
        <v>167.987934395251</v>
      </c>
      <c r="U507" s="226">
        <f ca="1" t="shared" si="231"/>
        <v>0.135411013366489</v>
      </c>
      <c r="V507" s="226">
        <f ca="1">COUNTIF($X$124:$X507,X507)/(COUNTIF($X$124:$X$723,X507)+1)</f>
        <v>0.552577319587629</v>
      </c>
      <c r="W507" s="19">
        <v>30</v>
      </c>
      <c r="X507" s="19" t="s">
        <v>326</v>
      </c>
      <c r="Y507" s="19">
        <f t="shared" si="237"/>
        <v>39560</v>
      </c>
      <c r="Z507" s="19">
        <f ca="1" t="shared" si="213"/>
        <v>0.240434127835051</v>
      </c>
      <c r="AA507" s="282">
        <f ca="1" t="shared" si="214"/>
        <v>1.32031875</v>
      </c>
      <c r="AB507" s="282">
        <f ca="1" t="shared" si="215"/>
        <v>18</v>
      </c>
      <c r="AC507" s="282">
        <f ca="1" t="shared" si="216"/>
        <v>8.1369</v>
      </c>
      <c r="AD507" s="282">
        <f ca="1" t="shared" si="217"/>
        <v>2.034225</v>
      </c>
      <c r="AE507" s="282">
        <f ca="1" t="shared" si="218"/>
        <v>0.50855625</v>
      </c>
      <c r="AF507" s="19" t="str">
        <f t="shared" si="219"/>
        <v>彩3</v>
      </c>
      <c r="AG507" s="19">
        <f>IFERROR(_xlfn.XLOOKUP(C507+1,[2]基因升级!$E$141:$E$500,[2]基因升级!$D$141:$D$500)-1,AG506)</f>
        <v>107</v>
      </c>
      <c r="AH507" s="19">
        <v>8</v>
      </c>
      <c r="AI507" s="19">
        <f t="shared" si="220"/>
        <v>10.5142500606751</v>
      </c>
      <c r="AJ507" s="19">
        <f t="shared" si="232"/>
        <v>0</v>
      </c>
      <c r="AK507" s="269">
        <v>2.0368</v>
      </c>
      <c r="AL507" s="287">
        <f t="shared" si="241"/>
        <v>16.9999999999998</v>
      </c>
      <c r="AM507" s="287">
        <f t="shared" si="242"/>
        <v>13.3999999999999</v>
      </c>
      <c r="AN507" s="287">
        <f t="shared" si="243"/>
        <v>9.79999999999996</v>
      </c>
      <c r="AO507" s="287">
        <f t="shared" si="238"/>
        <v>6.2</v>
      </c>
      <c r="AP507" s="86"/>
      <c r="AQ507" s="19">
        <f t="shared" si="221"/>
        <v>3.15881521096495</v>
      </c>
      <c r="AR507" s="19">
        <f t="shared" si="222"/>
        <v>2.47595428040558</v>
      </c>
      <c r="AS507" s="19">
        <f t="shared" si="223"/>
        <v>1.9407116875273</v>
      </c>
      <c r="AT507" s="19">
        <f t="shared" si="224"/>
        <v>1.52117584880772</v>
      </c>
      <c r="AU507" s="19">
        <f t="shared" si="225"/>
        <v>1</v>
      </c>
      <c r="AV507" s="232">
        <f t="shared" si="245"/>
        <v>0.0399999999999991</v>
      </c>
      <c r="AW507" s="232">
        <f t="shared" si="246"/>
        <v>0.0399999999999991</v>
      </c>
      <c r="AX507" s="232">
        <f t="shared" si="247"/>
        <v>0.0399999999999991</v>
      </c>
      <c r="AY507" s="232">
        <f t="shared" si="248"/>
        <v>0.04</v>
      </c>
      <c r="AZ507" s="232">
        <f t="shared" si="249"/>
        <v>0</v>
      </c>
    </row>
    <row r="508" spans="1:52">
      <c r="A508" s="269"/>
      <c r="C508" s="19">
        <v>385</v>
      </c>
      <c r="D508" s="86">
        <f ca="1" t="shared" si="233"/>
        <v>244.626319677818</v>
      </c>
      <c r="E508" s="251">
        <f ca="1" t="shared" ref="E508:E571" si="250">J508+N508+U508+AJ508</f>
        <v>0.321693872808129</v>
      </c>
      <c r="F508" s="269">
        <f ca="1" t="shared" si="226"/>
        <v>510.627293100279</v>
      </c>
      <c r="G508" s="283">
        <f ca="1" t="shared" si="227"/>
        <v>164.26567147896</v>
      </c>
      <c r="H508" s="279">
        <f ca="1" t="shared" si="228"/>
        <v>0.186147192534918</v>
      </c>
      <c r="I508" s="269">
        <f ca="1">SUM($J$125:J508)/SUM($H$125:H508)</f>
        <v>0.500542262050028</v>
      </c>
      <c r="J508" s="284">
        <f t="shared" si="234"/>
        <v>0.062463822274367</v>
      </c>
      <c r="K508" s="19">
        <f t="shared" si="236"/>
        <v>39400</v>
      </c>
      <c r="L508" s="269">
        <f t="shared" si="229"/>
        <v>2.96999999999996</v>
      </c>
      <c r="M508" s="226">
        <f ca="1" t="shared" si="230"/>
        <v>253.44</v>
      </c>
      <c r="N508" s="280">
        <f ca="1" t="shared" si="235"/>
        <v>0.123683370260565</v>
      </c>
      <c r="O508" s="226">
        <f t="shared" si="240"/>
        <v>105.6</v>
      </c>
      <c r="P508" s="19">
        <f ca="1" t="shared" si="244"/>
        <v>15</v>
      </c>
      <c r="Q508" s="226">
        <f ca="1" t="shared" si="239"/>
        <v>2.4</v>
      </c>
      <c r="R508" s="269">
        <f ca="1" t="shared" ref="R508:R571" si="251">S508/$E$115</f>
        <v>0.80756993792233</v>
      </c>
      <c r="S508" s="266">
        <f ca="1" t="shared" ref="S508:S571" si="252">LOG(T508,1.07)</f>
        <v>75.867064724582</v>
      </c>
      <c r="T508" s="226">
        <f ca="1">(1+OFFSET('玩法产出(新)'!$C$18,MATCH(X508,'玩法产出(新)'!$B$19:$B$25,0),1)*(1-V508)+OFFSET('玩法产出(新)'!$C$18,1+MATCH(X508,'玩法产出(新)'!$B$19:$B$25,0),1)*(V508))^AA508*(1+OFFSET('玩法产出(新)'!$C$18,MATCH(X508,'玩法产出(新)'!$B$19:$B$25,0),3)*(1-V508)+OFFSET('玩法产出(新)'!$C$18,1+MATCH(X508,'玩法产出(新)'!$B$19:$B$25,0),3)*(V508))^AB508*(1+OFFSET('玩法产出(新)'!$C$18,MATCH(X508,'玩法产出(新)'!$B$19:$B$25,0),4)*(1-V508)+OFFSET('玩法产出(新)'!$C$18,1+MATCH(X508,'玩法产出(新)'!$B$19:$B$25,0),4)*(V508))^AC508*(1+OFFSET('玩法产出(新)'!$C$18,MATCH(X508,'玩法产出(新)'!$B$19:$B$25,0),5)*(1+V508)+OFFSET('玩法产出(新)'!$C$18,1+MATCH(X508,'玩法产出(新)'!$B$19:$B$25,5),1)*(V508))^AD508*(1+OFFSET('玩法产出(新)'!$C$18,MATCH(X508,'玩法产出(新)'!$B$19:$B$25,0),6)*(1+V508)+OFFSET('玩法产出(新)'!$C$18,1+MATCH(X508,'玩法产出(新)'!$B$19:$B$25,0),6)*(V508))^AE508</f>
        <v>169.535621814949</v>
      </c>
      <c r="U508" s="226">
        <f ca="1" t="shared" si="231"/>
        <v>0.135546680273197</v>
      </c>
      <c r="V508" s="226">
        <f ca="1">COUNTIF($X$124:$X508,X508)/(COUNTIF($X$124:$X$723,X508)+1)</f>
        <v>0.554639175257732</v>
      </c>
      <c r="W508" s="19">
        <v>30</v>
      </c>
      <c r="X508" s="19" t="s">
        <v>326</v>
      </c>
      <c r="Y508" s="19">
        <f t="shared" si="237"/>
        <v>39660</v>
      </c>
      <c r="Z508" s="19">
        <f ca="1" t="shared" ref="Z508:Z571" si="253">(_xlfn.XLOOKUP(X508,$W$110:$W$115,$X$110:$X$115)+V508*_xlfn.XLOOKUP(X508,$W$110:$W$115,$Y$110:$Y$115))*MIN(AA508/2,6)</f>
        <v>0.235557398195876</v>
      </c>
      <c r="AA508" s="282">
        <f ca="1" t="shared" ref="AA508:AA571" si="254">MAX(W508-SUM(AB508:AE508),0)</f>
        <v>1.292953125</v>
      </c>
      <c r="AB508" s="282">
        <f ca="1" t="shared" ref="AB508:AB571" si="255">MIN(1+($Y508*$P$116+120*$C508)/OFFSET($G$101,MATCH(AB$123,$AB$123:$AE$123),0),18)</f>
        <v>18</v>
      </c>
      <c r="AC508" s="282">
        <f ca="1" t="shared" ref="AC508:AC571" si="256">MIN(($Y508*$P$116+120*$C508)/OFFSET($G$101,MATCH(AC$123,$AB$123:$AE$123),0),12)</f>
        <v>8.15775</v>
      </c>
      <c r="AD508" s="282">
        <f ca="1" t="shared" ref="AD508:AD571" si="257">IF(MATCH($X508,$L$112:$L$118,0)&gt;=4,($Y508*$P$116+120*$C508)/OFFSET($G$101,MATCH(AD$123,$AB$123:$AE$123),0),0)</f>
        <v>2.0394375</v>
      </c>
      <c r="AE508" s="282">
        <f ca="1" t="shared" ref="AE508:AE571" si="258">IF(MATCH($X508,$L$112:$L$118,0)&gt;=4,($Y508*$P$116+120*$C508)/OFFSET($G$101,MATCH(AE$123,$AB$123:$AE$123),0),0)</f>
        <v>0.509859375</v>
      </c>
      <c r="AF508" s="19" t="str">
        <f t="shared" ref="AF508:AF571" si="259">_xlfn.XLOOKUP(O508,$D$77:$D$95,$F$77:$F$95)</f>
        <v>彩3</v>
      </c>
      <c r="AG508" s="19">
        <f>IFERROR(_xlfn.XLOOKUP(C508+1,[2]基因升级!$E$141:$E$500,[2]基因升级!$D$141:$D$500)-1,AG507)</f>
        <v>107</v>
      </c>
      <c r="AH508" s="19">
        <v>8</v>
      </c>
      <c r="AI508" s="19">
        <f t="shared" ref="AI508:AI571" si="260">LOG(AK508,1.07)</f>
        <v>10.5142500606751</v>
      </c>
      <c r="AJ508" s="19">
        <f t="shared" si="232"/>
        <v>0</v>
      </c>
      <c r="AK508" s="269">
        <v>2.0368</v>
      </c>
      <c r="AL508" s="287">
        <f t="shared" si="241"/>
        <v>17.0399999999998</v>
      </c>
      <c r="AM508" s="287">
        <f t="shared" si="242"/>
        <v>13.4399999999999</v>
      </c>
      <c r="AN508" s="287">
        <f t="shared" si="243"/>
        <v>9.83999999999996</v>
      </c>
      <c r="AO508" s="287">
        <f t="shared" si="238"/>
        <v>6.24</v>
      </c>
      <c r="AP508" s="86"/>
      <c r="AQ508" s="19">
        <f t="shared" ref="AQ508:AQ571" si="261">1.07^AL508</f>
        <v>3.16737563619414</v>
      </c>
      <c r="AR508" s="19">
        <f t="shared" ref="AR508:AR571" si="262">1.07^AM508</f>
        <v>2.48266414472899</v>
      </c>
      <c r="AS508" s="19">
        <f t="shared" ref="AS508:AS571" si="263">1.07^AN508</f>
        <v>1.94597103832276</v>
      </c>
      <c r="AT508" s="19">
        <f t="shared" ref="AT508:AT571" si="264">1.07^AO508</f>
        <v>1.52529825269794</v>
      </c>
      <c r="AU508" s="19">
        <f t="shared" ref="AU508:AU571" si="265">1.07^AP508</f>
        <v>1</v>
      </c>
      <c r="AV508" s="232">
        <f t="shared" si="245"/>
        <v>0.0399999999999991</v>
      </c>
      <c r="AW508" s="232">
        <f t="shared" si="246"/>
        <v>0.0399999999999991</v>
      </c>
      <c r="AX508" s="232">
        <f t="shared" si="247"/>
        <v>0.0399999999999991</v>
      </c>
      <c r="AY508" s="232">
        <f t="shared" si="248"/>
        <v>0.04</v>
      </c>
      <c r="AZ508" s="232">
        <f t="shared" si="249"/>
        <v>0</v>
      </c>
    </row>
    <row r="509" spans="1:52">
      <c r="A509" s="269"/>
      <c r="C509" s="19">
        <v>386</v>
      </c>
      <c r="D509" s="86">
        <f ca="1" t="shared" si="233"/>
        <v>244.946985611353</v>
      </c>
      <c r="E509" s="251">
        <f ca="1" t="shared" si="250"/>
        <v>0.320665933535454</v>
      </c>
      <c r="F509" s="269">
        <f ca="1" t="shared" ref="F509:F572" si="266">G509/E509</f>
        <v>512.841053392946</v>
      </c>
      <c r="G509" s="283">
        <f ca="1" t="shared" ref="G509:G572" si="267">LOG((K509*O509*L509*Q509)/($K$124*$O$124*$L$124*$Q$124),1.07)+$G$124</f>
        <v>164.450655141555</v>
      </c>
      <c r="H509" s="279">
        <f ca="1" t="shared" ref="H509:H572" si="268">G509-G508</f>
        <v>0.184983662594334</v>
      </c>
      <c r="I509" s="269">
        <f ca="1">SUM($J$125:J509)/SUM($H$125:H509)</f>
        <v>0.500346306787071</v>
      </c>
      <c r="J509" s="284">
        <f t="shared" si="234"/>
        <v>0.0623267221751291</v>
      </c>
      <c r="K509" s="19">
        <f t="shared" si="236"/>
        <v>39500</v>
      </c>
      <c r="L509" s="269">
        <f t="shared" ref="L509:L572" si="269">L508+0.5%</f>
        <v>2.97499999999996</v>
      </c>
      <c r="M509" s="226">
        <f ca="1" t="shared" ref="M509:M572" si="270">O509*Q509</f>
        <v>255.552</v>
      </c>
      <c r="N509" s="280">
        <f ca="1" t="shared" si="235"/>
        <v>0.122656940419191</v>
      </c>
      <c r="O509" s="226">
        <f t="shared" si="240"/>
        <v>105.6</v>
      </c>
      <c r="P509" s="19">
        <f ca="1" t="shared" si="244"/>
        <v>15.2</v>
      </c>
      <c r="Q509" s="226">
        <f ca="1" t="shared" si="239"/>
        <v>2.42</v>
      </c>
      <c r="R509" s="269">
        <f ca="1" t="shared" si="251"/>
        <v>0.809014213162434</v>
      </c>
      <c r="S509" s="266">
        <f ca="1" t="shared" si="252"/>
        <v>76.0027469955231</v>
      </c>
      <c r="T509" s="226">
        <f ca="1">(1+OFFSET('玩法产出(新)'!$C$18,MATCH(X509,'玩法产出(新)'!$B$19:$B$25,0),1)*(1-V509)+OFFSET('玩法产出(新)'!$C$18,1+MATCH(X509,'玩法产出(新)'!$B$19:$B$25,0),1)*(V509))^AA509*(1+OFFSET('玩法产出(新)'!$C$18,MATCH(X509,'玩法产出(新)'!$B$19:$B$25,0),3)*(1-V509)+OFFSET('玩法产出(新)'!$C$18,1+MATCH(X509,'玩法产出(新)'!$B$19:$B$25,0),3)*(V509))^AB509*(1+OFFSET('玩法产出(新)'!$C$18,MATCH(X509,'玩法产出(新)'!$B$19:$B$25,0),4)*(1-V509)+OFFSET('玩法产出(新)'!$C$18,1+MATCH(X509,'玩法产出(新)'!$B$19:$B$25,0),4)*(V509))^AC509*(1+OFFSET('玩法产出(新)'!$C$18,MATCH(X509,'玩法产出(新)'!$B$19:$B$25,0),5)*(1+V509)+OFFSET('玩法产出(新)'!$C$18,1+MATCH(X509,'玩法产出(新)'!$B$19:$B$25,5),1)*(V509))^AD509*(1+OFFSET('玩法产出(新)'!$C$18,MATCH(X509,'玩法产出(新)'!$B$19:$B$25,0),6)*(1+V509)+OFFSET('玩法产出(新)'!$C$18,1+MATCH(X509,'玩法产出(新)'!$B$19:$B$25,0),6)*(V509))^AE509</f>
        <v>171.099137849161</v>
      </c>
      <c r="U509" s="226">
        <f ca="1" t="shared" ref="U509:U572" si="271">LOG(T509/T508,1.07)</f>
        <v>0.135682270941134</v>
      </c>
      <c r="V509" s="226">
        <f ca="1">COUNTIF($X$124:$X509,X509)/(COUNTIF($X$124:$X$723,X509)+1)</f>
        <v>0.556701030927835</v>
      </c>
      <c r="W509" s="19">
        <v>30</v>
      </c>
      <c r="X509" s="19" t="s">
        <v>326</v>
      </c>
      <c r="Y509" s="19">
        <f t="shared" si="237"/>
        <v>39760</v>
      </c>
      <c r="Z509" s="19">
        <f ca="1" t="shared" si="253"/>
        <v>0.230676154639175</v>
      </c>
      <c r="AA509" s="282">
        <f ca="1" t="shared" si="254"/>
        <v>1.2655875</v>
      </c>
      <c r="AB509" s="282">
        <f ca="1" t="shared" si="255"/>
        <v>18</v>
      </c>
      <c r="AC509" s="282">
        <f ca="1" t="shared" si="256"/>
        <v>8.1786</v>
      </c>
      <c r="AD509" s="282">
        <f ca="1" t="shared" si="257"/>
        <v>2.04465</v>
      </c>
      <c r="AE509" s="282">
        <f ca="1" t="shared" si="258"/>
        <v>0.5111625</v>
      </c>
      <c r="AF509" s="19" t="str">
        <f t="shared" si="259"/>
        <v>彩3</v>
      </c>
      <c r="AG509" s="19">
        <f>IFERROR(_xlfn.XLOOKUP(C509+1,[2]基因升级!$E$141:$E$500,[2]基因升级!$D$141:$D$500)-1,AG508)</f>
        <v>107</v>
      </c>
      <c r="AH509" s="19">
        <v>8</v>
      </c>
      <c r="AI509" s="19">
        <f t="shared" si="260"/>
        <v>10.5142500606751</v>
      </c>
      <c r="AJ509" s="19">
        <f t="shared" ref="AJ509:AJ572" si="272">AI509-AI508</f>
        <v>0</v>
      </c>
      <c r="AK509" s="269">
        <v>2.0368</v>
      </c>
      <c r="AL509" s="287">
        <f t="shared" si="241"/>
        <v>17.0799999999998</v>
      </c>
      <c r="AM509" s="287">
        <f t="shared" si="242"/>
        <v>13.4799999999999</v>
      </c>
      <c r="AN509" s="287">
        <f t="shared" si="243"/>
        <v>9.87999999999996</v>
      </c>
      <c r="AO509" s="287">
        <f t="shared" si="238"/>
        <v>6.28</v>
      </c>
      <c r="AP509" s="86"/>
      <c r="AQ509" s="19">
        <f t="shared" si="261"/>
        <v>3.17595926027328</v>
      </c>
      <c r="AR509" s="19">
        <f t="shared" si="262"/>
        <v>2.4893921928612</v>
      </c>
      <c r="AS509" s="19">
        <f t="shared" si="263"/>
        <v>1.95124464201883</v>
      </c>
      <c r="AT509" s="19">
        <f t="shared" si="264"/>
        <v>1.52943182834969</v>
      </c>
      <c r="AU509" s="19">
        <f t="shared" si="265"/>
        <v>1</v>
      </c>
      <c r="AV509" s="232">
        <f t="shared" si="245"/>
        <v>0.0399999999999991</v>
      </c>
      <c r="AW509" s="232">
        <f t="shared" si="246"/>
        <v>0.0399999999999991</v>
      </c>
      <c r="AX509" s="232">
        <f t="shared" si="247"/>
        <v>0.0399999999999991</v>
      </c>
      <c r="AY509" s="232">
        <f t="shared" si="248"/>
        <v>0.04</v>
      </c>
      <c r="AZ509" s="232">
        <f t="shared" si="249"/>
        <v>0</v>
      </c>
    </row>
    <row r="510" s="232" customFormat="1" spans="1:52">
      <c r="A510" s="285"/>
      <c r="C510" s="232">
        <v>387</v>
      </c>
      <c r="D510" s="86">
        <f ca="1" t="shared" ref="D510:D573" si="273">D509+E510</f>
        <v>245.266641047881</v>
      </c>
      <c r="E510" s="251">
        <f ca="1" t="shared" si="250"/>
        <v>0.319655436527955</v>
      </c>
      <c r="F510" s="285">
        <f ca="1" t="shared" si="266"/>
        <v>515.037362044743</v>
      </c>
      <c r="G510" s="286">
        <f ca="1" t="shared" si="267"/>
        <v>164.634492792619</v>
      </c>
      <c r="H510" s="287">
        <f ca="1" t="shared" si="268"/>
        <v>0.183837651064039</v>
      </c>
      <c r="I510" s="285">
        <f ca="1">SUM($J$125:J510)/SUM($H$125:H510)</f>
        <v>0.500153644432205</v>
      </c>
      <c r="J510" s="288">
        <f t="shared" ref="J510:J573" si="274">LOG(K510*L510/$K$124/$L$124,1.07)-LOG(K509*L509/$K$124/$L$124,1.07)</f>
        <v>0.062190244233264</v>
      </c>
      <c r="K510" s="232">
        <f t="shared" si="236"/>
        <v>39600</v>
      </c>
      <c r="L510" s="285">
        <f t="shared" si="269"/>
        <v>2.97999999999996</v>
      </c>
      <c r="M510" s="289">
        <f ca="1" t="shared" si="270"/>
        <v>257.664</v>
      </c>
      <c r="N510" s="290">
        <f ca="1" t="shared" ref="N510:N573" si="275">LOG(O510*Q510/($O$124*$Q$124),1.07)-LOG(O509*Q509/($O$124*$Q$124),1.07)</f>
        <v>0.121647406830789</v>
      </c>
      <c r="O510" s="289">
        <f t="shared" si="240"/>
        <v>105.6</v>
      </c>
      <c r="P510" s="232">
        <f ca="1" t="shared" si="244"/>
        <v>15.4</v>
      </c>
      <c r="Q510" s="289">
        <f ca="1" t="shared" si="239"/>
        <v>2.44</v>
      </c>
      <c r="R510" s="285">
        <f ca="1" t="shared" si="251"/>
        <v>0.810459930892176</v>
      </c>
      <c r="S510" s="292">
        <f ca="1" t="shared" si="252"/>
        <v>76.1385647809871</v>
      </c>
      <c r="T510" s="226">
        <f ca="1">(1+OFFSET('玩法产出(新)'!$C$18,MATCH(X510,'玩法产出(新)'!$B$19:$B$25,0),1)*(1-V510)+OFFSET('玩法产出(新)'!$C$18,1+MATCH(X510,'玩法产出(新)'!$B$19:$B$25,0),1)*(V510))^AA510*(1+OFFSET('玩法产出(新)'!$C$18,MATCH(X510,'玩法产出(新)'!$B$19:$B$25,0),3)*(1-V510)+OFFSET('玩法产出(新)'!$C$18,1+MATCH(X510,'玩法产出(新)'!$B$19:$B$25,0),3)*(V510))^AB510*(1+OFFSET('玩法产出(新)'!$C$18,MATCH(X510,'玩法产出(新)'!$B$19:$B$25,0),4)*(1-V510)+OFFSET('玩法产出(新)'!$C$18,1+MATCH(X510,'玩法产出(新)'!$B$19:$B$25,0),4)*(V510))^AC510*(1+OFFSET('玩法产出(新)'!$C$18,MATCH(X510,'玩法产出(新)'!$B$19:$B$25,0),5)*(1+V510)+OFFSET('玩法产出(新)'!$C$18,1+MATCH(X510,'玩法产出(新)'!$B$19:$B$25,5),1)*(V510))^AD510*(1+OFFSET('玩法产出(新)'!$C$18,MATCH(X510,'玩法产出(新)'!$B$19:$B$25,0),6)*(1+V510)+OFFSET('玩法产出(新)'!$C$18,1+MATCH(X510,'玩法产出(新)'!$B$19:$B$25,0),6)*(V510))^AE510</f>
        <v>172.678656404649</v>
      </c>
      <c r="U510" s="226">
        <f ca="1" t="shared" si="271"/>
        <v>0.135817785463902</v>
      </c>
      <c r="V510" s="289">
        <f ca="1">COUNTIF($X$124:$X510,X510)/(COUNTIF($X$124:$X$723,X510)+1)</f>
        <v>0.558762886597938</v>
      </c>
      <c r="W510" s="232">
        <v>30</v>
      </c>
      <c r="X510" s="232" t="s">
        <v>326</v>
      </c>
      <c r="Y510" s="232">
        <f t="shared" si="237"/>
        <v>39860</v>
      </c>
      <c r="Z510" s="19">
        <f ca="1" t="shared" si="253"/>
        <v>0.225790397164949</v>
      </c>
      <c r="AA510" s="293">
        <f ca="1" t="shared" si="254"/>
        <v>1.238221875</v>
      </c>
      <c r="AB510" s="293">
        <f ca="1" t="shared" si="255"/>
        <v>18</v>
      </c>
      <c r="AC510" s="293">
        <f ca="1" t="shared" si="256"/>
        <v>8.19945</v>
      </c>
      <c r="AD510" s="293">
        <f ca="1" t="shared" si="257"/>
        <v>2.0498625</v>
      </c>
      <c r="AE510" s="293">
        <f ca="1" t="shared" si="258"/>
        <v>0.512465625</v>
      </c>
      <c r="AF510" s="232" t="str">
        <f t="shared" si="259"/>
        <v>彩3</v>
      </c>
      <c r="AG510" s="232">
        <f>IFERROR(_xlfn.XLOOKUP(C510+1,[2]基因升级!$E$141:$E$500,[2]基因升级!$D$141:$D$500)-1,AG509)</f>
        <v>108</v>
      </c>
      <c r="AH510" s="232">
        <v>8</v>
      </c>
      <c r="AI510" s="232">
        <f t="shared" si="260"/>
        <v>10.5142500606751</v>
      </c>
      <c r="AJ510" s="19">
        <f t="shared" si="272"/>
        <v>0</v>
      </c>
      <c r="AK510" s="285">
        <v>2.0368</v>
      </c>
      <c r="AL510" s="287">
        <f t="shared" si="241"/>
        <v>17.1199999999998</v>
      </c>
      <c r="AM510" s="287">
        <f t="shared" si="242"/>
        <v>13.5199999999999</v>
      </c>
      <c r="AN510" s="287">
        <f t="shared" si="243"/>
        <v>9.91999999999996</v>
      </c>
      <c r="AO510" s="287">
        <f t="shared" si="238"/>
        <v>6.32</v>
      </c>
      <c r="AP510" s="291"/>
      <c r="AQ510" s="232">
        <f t="shared" si="261"/>
        <v>3.18456614607153</v>
      </c>
      <c r="AR510" s="232">
        <f t="shared" si="262"/>
        <v>2.49613847408055</v>
      </c>
      <c r="AS510" s="232">
        <f t="shared" si="263"/>
        <v>1.95653253724102</v>
      </c>
      <c r="AT510" s="232">
        <f t="shared" si="264"/>
        <v>1.53357660603858</v>
      </c>
      <c r="AU510" s="232">
        <f t="shared" si="265"/>
        <v>1</v>
      </c>
      <c r="AV510" s="232">
        <f t="shared" si="245"/>
        <v>0.0399999999999991</v>
      </c>
      <c r="AW510" s="232">
        <f t="shared" si="246"/>
        <v>0.0399999999999991</v>
      </c>
      <c r="AX510" s="232">
        <f t="shared" si="247"/>
        <v>0.0399999999999991</v>
      </c>
      <c r="AY510" s="232">
        <f t="shared" si="248"/>
        <v>0.04</v>
      </c>
      <c r="AZ510" s="232">
        <f t="shared" si="249"/>
        <v>0</v>
      </c>
    </row>
    <row r="511" spans="1:52">
      <c r="A511" s="269"/>
      <c r="C511" s="19">
        <v>388</v>
      </c>
      <c r="D511" s="86">
        <f ca="1" t="shared" si="273"/>
        <v>245.585303011614</v>
      </c>
      <c r="E511" s="251">
        <f ca="1" t="shared" si="250"/>
        <v>0.318661963733296</v>
      </c>
      <c r="F511" s="269">
        <f ca="1" t="shared" si="266"/>
        <v>517.216424582009</v>
      </c>
      <c r="G511" s="283">
        <f ca="1" t="shared" si="267"/>
        <v>164.817201532417</v>
      </c>
      <c r="H511" s="279">
        <f ca="1" t="shared" si="268"/>
        <v>0.182708739798557</v>
      </c>
      <c r="I511" s="269">
        <f ca="1">SUM($J$125:J511)/SUM($H$125:H511)</f>
        <v>0.499964207743702</v>
      </c>
      <c r="J511" s="284">
        <f t="shared" si="274"/>
        <v>0.0620543840982464</v>
      </c>
      <c r="K511" s="19">
        <f t="shared" si="236"/>
        <v>39700</v>
      </c>
      <c r="L511" s="269">
        <f t="shared" si="269"/>
        <v>2.98499999999996</v>
      </c>
      <c r="M511" s="226">
        <f ca="1" t="shared" si="270"/>
        <v>259.776</v>
      </c>
      <c r="N511" s="280">
        <f ca="1" t="shared" si="275"/>
        <v>0.120654355700282</v>
      </c>
      <c r="O511" s="226">
        <f t="shared" si="240"/>
        <v>105.6</v>
      </c>
      <c r="P511" s="19">
        <f ca="1" t="shared" si="244"/>
        <v>15.6</v>
      </c>
      <c r="Q511" s="226">
        <f ca="1" t="shared" si="239"/>
        <v>2.46</v>
      </c>
      <c r="R511" s="269">
        <f ca="1" t="shared" si="251"/>
        <v>0.811907090302019</v>
      </c>
      <c r="S511" s="266">
        <f ca="1" t="shared" si="252"/>
        <v>76.2745180049218</v>
      </c>
      <c r="T511" s="226">
        <f ca="1">(1+OFFSET('玩法产出(新)'!$C$18,MATCH(X511,'玩法产出(新)'!$B$19:$B$25,0),1)*(1-V511)+OFFSET('玩法产出(新)'!$C$18,1+MATCH(X511,'玩法产出(新)'!$B$19:$B$25,0),1)*(V511))^AA511*(1+OFFSET('玩法产出(新)'!$C$18,MATCH(X511,'玩法产出(新)'!$B$19:$B$25,0),3)*(1-V511)+OFFSET('玩法产出(新)'!$C$18,1+MATCH(X511,'玩法产出(新)'!$B$19:$B$25,0),3)*(V511))^AB511*(1+OFFSET('玩法产出(新)'!$C$18,MATCH(X511,'玩法产出(新)'!$B$19:$B$25,0),4)*(1-V511)+OFFSET('玩法产出(新)'!$C$18,1+MATCH(X511,'玩法产出(新)'!$B$19:$B$25,0),4)*(V511))^AC511*(1+OFFSET('玩法产出(新)'!$C$18,MATCH(X511,'玩法产出(新)'!$B$19:$B$25,0),5)*(1+V511)+OFFSET('玩法产出(新)'!$C$18,1+MATCH(X511,'玩法产出(新)'!$B$19:$B$25,5),1)*(V511))^AD511*(1+OFFSET('玩法产出(新)'!$C$18,MATCH(X511,'玩法产出(新)'!$B$19:$B$25,0),6)*(1+V511)+OFFSET('玩法产出(新)'!$C$18,1+MATCH(X511,'玩法产出(新)'!$B$19:$B$25,0),6)*(V511))^AE511</f>
        <v>174.274353411707</v>
      </c>
      <c r="U511" s="226">
        <f ca="1" t="shared" si="271"/>
        <v>0.135953223934768</v>
      </c>
      <c r="V511" s="226">
        <f ca="1">COUNTIF($X$124:$X511,X511)/(COUNTIF($X$124:$X$723,X511)+1)</f>
        <v>0.560824742268041</v>
      </c>
      <c r="W511" s="19">
        <v>30</v>
      </c>
      <c r="X511" s="19" t="s">
        <v>326</v>
      </c>
      <c r="Y511" s="19">
        <f t="shared" si="237"/>
        <v>39960</v>
      </c>
      <c r="Z511" s="19">
        <f ca="1" t="shared" si="253"/>
        <v>0.220900125773196</v>
      </c>
      <c r="AA511" s="282">
        <f ca="1" t="shared" si="254"/>
        <v>1.21085625</v>
      </c>
      <c r="AB511" s="282">
        <f ca="1" t="shared" si="255"/>
        <v>18</v>
      </c>
      <c r="AC511" s="282">
        <f ca="1" t="shared" si="256"/>
        <v>8.2203</v>
      </c>
      <c r="AD511" s="282">
        <f ca="1" t="shared" si="257"/>
        <v>2.055075</v>
      </c>
      <c r="AE511" s="282">
        <f ca="1" t="shared" si="258"/>
        <v>0.51376875</v>
      </c>
      <c r="AF511" s="19" t="str">
        <f t="shared" si="259"/>
        <v>彩3</v>
      </c>
      <c r="AG511" s="19">
        <f>IFERROR(_xlfn.XLOOKUP(C511+1,[2]基因升级!$E$141:$E$500,[2]基因升级!$D$141:$D$500)-1,AG510)</f>
        <v>108</v>
      </c>
      <c r="AH511" s="19">
        <v>8</v>
      </c>
      <c r="AI511" s="19">
        <f t="shared" si="260"/>
        <v>10.5142500606751</v>
      </c>
      <c r="AJ511" s="19">
        <f t="shared" si="272"/>
        <v>0</v>
      </c>
      <c r="AK511" s="269">
        <v>2.0368</v>
      </c>
      <c r="AL511" s="287">
        <f t="shared" si="241"/>
        <v>17.1599999999998</v>
      </c>
      <c r="AM511" s="287">
        <f t="shared" si="242"/>
        <v>13.5599999999999</v>
      </c>
      <c r="AN511" s="287">
        <f t="shared" si="243"/>
        <v>9.95999999999996</v>
      </c>
      <c r="AO511" s="287">
        <f t="shared" si="238"/>
        <v>6.36</v>
      </c>
      <c r="AP511" s="86"/>
      <c r="AQ511" s="19">
        <f t="shared" si="261"/>
        <v>3.19319635662839</v>
      </c>
      <c r="AR511" s="19">
        <f t="shared" si="262"/>
        <v>2.50290303779891</v>
      </c>
      <c r="AS511" s="19">
        <f t="shared" si="263"/>
        <v>1.96183476271955</v>
      </c>
      <c r="AT511" s="19">
        <f t="shared" si="264"/>
        <v>1.53773261612226</v>
      </c>
      <c r="AU511" s="19">
        <f t="shared" si="265"/>
        <v>1</v>
      </c>
      <c r="AV511" s="232">
        <f t="shared" si="245"/>
        <v>0.0399999999999991</v>
      </c>
      <c r="AW511" s="232">
        <f t="shared" si="246"/>
        <v>0.0399999999999991</v>
      </c>
      <c r="AX511" s="232">
        <f t="shared" si="247"/>
        <v>0.0399999999999991</v>
      </c>
      <c r="AY511" s="232">
        <f t="shared" si="248"/>
        <v>0.04</v>
      </c>
      <c r="AZ511" s="232">
        <f t="shared" si="249"/>
        <v>0</v>
      </c>
    </row>
    <row r="512" spans="1:52">
      <c r="A512" s="269"/>
      <c r="C512" s="19">
        <v>389</v>
      </c>
      <c r="D512" s="86">
        <f ca="1" t="shared" si="273"/>
        <v>245.902988122158</v>
      </c>
      <c r="E512" s="251">
        <f ca="1" t="shared" si="250"/>
        <v>0.317685110543175</v>
      </c>
      <c r="F512" s="269">
        <f ca="1" t="shared" si="266"/>
        <v>519.378442931746</v>
      </c>
      <c r="G512" s="283">
        <f ca="1" t="shared" si="267"/>
        <v>164.998798056514</v>
      </c>
      <c r="H512" s="279">
        <f ca="1" t="shared" si="268"/>
        <v>0.18159652409625</v>
      </c>
      <c r="I512" s="269">
        <f ca="1">SUM($J$125:J512)/SUM($H$125:H512)</f>
        <v>0.499777931300272</v>
      </c>
      <c r="J512" s="284">
        <f t="shared" si="274"/>
        <v>0.0619191374610182</v>
      </c>
      <c r="K512" s="19">
        <f t="shared" si="236"/>
        <v>39800</v>
      </c>
      <c r="L512" s="269">
        <f t="shared" si="269"/>
        <v>2.98999999999996</v>
      </c>
      <c r="M512" s="226">
        <f ca="1" t="shared" si="270"/>
        <v>261.888</v>
      </c>
      <c r="N512" s="280">
        <f ca="1" t="shared" si="275"/>
        <v>0.11967738663526</v>
      </c>
      <c r="O512" s="226">
        <f t="shared" si="240"/>
        <v>105.6</v>
      </c>
      <c r="P512" s="19">
        <f ca="1" t="shared" si="244"/>
        <v>15.8</v>
      </c>
      <c r="Q512" s="226">
        <f ca="1" t="shared" si="239"/>
        <v>2.48</v>
      </c>
      <c r="R512" s="269">
        <f ca="1" t="shared" si="251"/>
        <v>0.813355690583417</v>
      </c>
      <c r="S512" s="266">
        <f ca="1" t="shared" si="252"/>
        <v>76.4106065913687</v>
      </c>
      <c r="T512" s="226">
        <f ca="1">(1+OFFSET('玩法产出(新)'!$C$18,MATCH(X512,'玩法产出(新)'!$B$19:$B$25,0),1)*(1-V512)+OFFSET('玩法产出(新)'!$C$18,1+MATCH(X512,'玩法产出(新)'!$B$19:$B$25,0),1)*(V512))^AA512*(1+OFFSET('玩法产出(新)'!$C$18,MATCH(X512,'玩法产出(新)'!$B$19:$B$25,0),3)*(1-V512)+OFFSET('玩法产出(新)'!$C$18,1+MATCH(X512,'玩法产出(新)'!$B$19:$B$25,0),3)*(V512))^AB512*(1+OFFSET('玩法产出(新)'!$C$18,MATCH(X512,'玩法产出(新)'!$B$19:$B$25,0),4)*(1-V512)+OFFSET('玩法产出(新)'!$C$18,1+MATCH(X512,'玩法产出(新)'!$B$19:$B$25,0),4)*(V512))^AC512*(1+OFFSET('玩法产出(新)'!$C$18,MATCH(X512,'玩法产出(新)'!$B$19:$B$25,0),5)*(1+V512)+OFFSET('玩法产出(新)'!$C$18,1+MATCH(X512,'玩法产出(新)'!$B$19:$B$25,5),1)*(V512))^AD512*(1+OFFSET('玩法产出(新)'!$C$18,MATCH(X512,'玩法产出(新)'!$B$19:$B$25,0),6)*(1+V512)+OFFSET('玩法产出(新)'!$C$18,1+MATCH(X512,'玩法产出(新)'!$B$19:$B$25,0),6)*(V512))^AE512</f>
        <v>175.886406848866</v>
      </c>
      <c r="U512" s="226">
        <f ca="1" t="shared" si="271"/>
        <v>0.136088586446896</v>
      </c>
      <c r="V512" s="226">
        <f ca="1">COUNTIF($X$124:$X512,X512)/(COUNTIF($X$124:$X$723,X512)+1)</f>
        <v>0.562886597938144</v>
      </c>
      <c r="W512" s="19">
        <v>30</v>
      </c>
      <c r="X512" s="19" t="s">
        <v>326</v>
      </c>
      <c r="Y512" s="19">
        <f t="shared" si="237"/>
        <v>40060</v>
      </c>
      <c r="Z512" s="19">
        <f ca="1" t="shared" si="253"/>
        <v>0.216005340463918</v>
      </c>
      <c r="AA512" s="282">
        <f ca="1" t="shared" si="254"/>
        <v>1.183490625</v>
      </c>
      <c r="AB512" s="282">
        <f ca="1" t="shared" si="255"/>
        <v>18</v>
      </c>
      <c r="AC512" s="282">
        <f ca="1" t="shared" si="256"/>
        <v>8.24115</v>
      </c>
      <c r="AD512" s="282">
        <f ca="1" t="shared" si="257"/>
        <v>2.0602875</v>
      </c>
      <c r="AE512" s="282">
        <f ca="1" t="shared" si="258"/>
        <v>0.515071875</v>
      </c>
      <c r="AF512" s="19" t="str">
        <f t="shared" si="259"/>
        <v>彩3</v>
      </c>
      <c r="AG512" s="19">
        <f>IFERROR(_xlfn.XLOOKUP(C512+1,[2]基因升级!$E$141:$E$500,[2]基因升级!$D$141:$D$500)-1,AG511)</f>
        <v>108</v>
      </c>
      <c r="AH512" s="19">
        <v>8</v>
      </c>
      <c r="AI512" s="19">
        <f t="shared" si="260"/>
        <v>10.5142500606751</v>
      </c>
      <c r="AJ512" s="19">
        <f t="shared" si="272"/>
        <v>0</v>
      </c>
      <c r="AK512" s="269">
        <v>2.0368</v>
      </c>
      <c r="AL512" s="287">
        <f t="shared" si="241"/>
        <v>17.1999999999998</v>
      </c>
      <c r="AM512" s="287">
        <f t="shared" si="242"/>
        <v>13.5999999999999</v>
      </c>
      <c r="AN512" s="287">
        <f t="shared" si="243"/>
        <v>9.99999999999996</v>
      </c>
      <c r="AO512" s="287">
        <f t="shared" si="238"/>
        <v>6.4</v>
      </c>
      <c r="AP512" s="86"/>
      <c r="AQ512" s="19">
        <f t="shared" si="261"/>
        <v>3.20184995515424</v>
      </c>
      <c r="AR512" s="19">
        <f t="shared" si="262"/>
        <v>2.50968593356204</v>
      </c>
      <c r="AS512" s="19">
        <f t="shared" si="263"/>
        <v>1.96715135728956</v>
      </c>
      <c r="AT512" s="19">
        <f t="shared" si="264"/>
        <v>1.54189988904063</v>
      </c>
      <c r="AU512" s="19">
        <f t="shared" si="265"/>
        <v>1</v>
      </c>
      <c r="AV512" s="232">
        <f t="shared" si="245"/>
        <v>0.0399999999999991</v>
      </c>
      <c r="AW512" s="232">
        <f t="shared" si="246"/>
        <v>0.0399999999999991</v>
      </c>
      <c r="AX512" s="232">
        <f t="shared" si="247"/>
        <v>0.0399999999999991</v>
      </c>
      <c r="AY512" s="232">
        <f t="shared" si="248"/>
        <v>0.04</v>
      </c>
      <c r="AZ512" s="232">
        <f t="shared" si="249"/>
        <v>0</v>
      </c>
    </row>
    <row r="513" spans="1:52">
      <c r="A513" s="269"/>
      <c r="C513" s="19">
        <v>390</v>
      </c>
      <c r="D513" s="86">
        <f ca="1" t="shared" si="273"/>
        <v>246.219712607412</v>
      </c>
      <c r="E513" s="251">
        <f ca="1" t="shared" si="250"/>
        <v>0.316724485254358</v>
      </c>
      <c r="F513" s="269">
        <f ca="1" t="shared" si="266"/>
        <v>521.523615504563</v>
      </c>
      <c r="G513" s="283">
        <f ca="1" t="shared" si="267"/>
        <v>165.179298668675</v>
      </c>
      <c r="H513" s="279">
        <f ca="1" t="shared" si="268"/>
        <v>0.180500612160984</v>
      </c>
      <c r="I513" s="269">
        <f ca="1">SUM($J$125:J513)/SUM($H$125:H513)</f>
        <v>0.499594751438431</v>
      </c>
      <c r="J513" s="284">
        <f t="shared" si="274"/>
        <v>0.0617845000534061</v>
      </c>
      <c r="K513" s="19">
        <f t="shared" si="236"/>
        <v>39900</v>
      </c>
      <c r="L513" s="269">
        <f t="shared" si="269"/>
        <v>2.99499999999996</v>
      </c>
      <c r="M513" s="226">
        <f ca="1" t="shared" si="270"/>
        <v>264</v>
      </c>
      <c r="N513" s="280">
        <f ca="1" t="shared" si="275"/>
        <v>0.118716112107577</v>
      </c>
      <c r="O513" s="226">
        <f t="shared" si="240"/>
        <v>105.6</v>
      </c>
      <c r="P513" s="19">
        <f ca="1" t="shared" si="244"/>
        <v>16</v>
      </c>
      <c r="Q513" s="226">
        <f ca="1" t="shared" si="239"/>
        <v>2.5</v>
      </c>
      <c r="R513" s="269">
        <f ca="1" t="shared" si="251"/>
        <v>0.814805730928815</v>
      </c>
      <c r="S513" s="266">
        <f ca="1" t="shared" si="252"/>
        <v>76.5468304644621</v>
      </c>
      <c r="T513" s="226">
        <f ca="1">(1+OFFSET('玩法产出(新)'!$C$18,MATCH(X513,'玩法产出(新)'!$B$19:$B$25,0),1)*(1-V513)+OFFSET('玩法产出(新)'!$C$18,1+MATCH(X513,'玩法产出(新)'!$B$19:$B$25,0),1)*(V513))^AA513*(1+OFFSET('玩法产出(新)'!$C$18,MATCH(X513,'玩法产出(新)'!$B$19:$B$25,0),3)*(1-V513)+OFFSET('玩法产出(新)'!$C$18,1+MATCH(X513,'玩法产出(新)'!$B$19:$B$25,0),3)*(V513))^AB513*(1+OFFSET('玩法产出(新)'!$C$18,MATCH(X513,'玩法产出(新)'!$B$19:$B$25,0),4)*(1-V513)+OFFSET('玩法产出(新)'!$C$18,1+MATCH(X513,'玩法产出(新)'!$B$19:$B$25,0),4)*(V513))^AC513*(1+OFFSET('玩法产出(新)'!$C$18,MATCH(X513,'玩法产出(新)'!$B$19:$B$25,0),5)*(1+V513)+OFFSET('玩法产出(新)'!$C$18,1+MATCH(X513,'玩法产出(新)'!$B$19:$B$25,5),1)*(V513))^AD513*(1+OFFSET('玩法产出(新)'!$C$18,MATCH(X513,'玩法产出(新)'!$B$19:$B$25,0),6)*(1+V513)+OFFSET('玩法产出(新)'!$C$18,1+MATCH(X513,'玩法产出(新)'!$B$19:$B$25,0),6)*(V513))^AE513</f>
        <v>177.514996767902</v>
      </c>
      <c r="U513" s="226">
        <f ca="1" t="shared" si="271"/>
        <v>0.136223873093374</v>
      </c>
      <c r="V513" s="226">
        <f ca="1">COUNTIF($X$124:$X513,X513)/(COUNTIF($X$124:$X$723,X513)+1)</f>
        <v>0.564948453608247</v>
      </c>
      <c r="W513" s="19">
        <v>30</v>
      </c>
      <c r="X513" s="19" t="s">
        <v>326</v>
      </c>
      <c r="Y513" s="19">
        <f t="shared" si="237"/>
        <v>40160</v>
      </c>
      <c r="Z513" s="19">
        <f ca="1" t="shared" si="253"/>
        <v>0.211106041237113</v>
      </c>
      <c r="AA513" s="282">
        <f ca="1" t="shared" si="254"/>
        <v>1.156125</v>
      </c>
      <c r="AB513" s="282">
        <f ca="1" t="shared" si="255"/>
        <v>18</v>
      </c>
      <c r="AC513" s="282">
        <f ca="1" t="shared" si="256"/>
        <v>8.262</v>
      </c>
      <c r="AD513" s="282">
        <f ca="1" t="shared" si="257"/>
        <v>2.0655</v>
      </c>
      <c r="AE513" s="282">
        <f ca="1" t="shared" si="258"/>
        <v>0.516375</v>
      </c>
      <c r="AF513" s="19" t="str">
        <f t="shared" si="259"/>
        <v>彩3</v>
      </c>
      <c r="AG513" s="19">
        <f>IFERROR(_xlfn.XLOOKUP(C513+1,[2]基因升级!$E$141:$E$500,[2]基因升级!$D$141:$D$500)-1,AG512)</f>
        <v>108</v>
      </c>
      <c r="AH513" s="19">
        <v>8</v>
      </c>
      <c r="AI513" s="19">
        <f t="shared" si="260"/>
        <v>10.5142500606751</v>
      </c>
      <c r="AJ513" s="19">
        <f t="shared" si="272"/>
        <v>0</v>
      </c>
      <c r="AK513" s="269">
        <v>2.0368</v>
      </c>
      <c r="AL513" s="287">
        <f t="shared" si="241"/>
        <v>17.2399999999998</v>
      </c>
      <c r="AM513" s="287">
        <f t="shared" si="242"/>
        <v>13.6399999999999</v>
      </c>
      <c r="AN513" s="287">
        <f t="shared" si="243"/>
        <v>10.04</v>
      </c>
      <c r="AO513" s="287">
        <f t="shared" si="238"/>
        <v>6.44</v>
      </c>
      <c r="AP513" s="86"/>
      <c r="AQ513" s="19">
        <f t="shared" si="261"/>
        <v>3.21052700503074</v>
      </c>
      <c r="AR513" s="19">
        <f t="shared" si="262"/>
        <v>2.51648721105002</v>
      </c>
      <c r="AS513" s="19">
        <f t="shared" si="263"/>
        <v>1.97248235989146</v>
      </c>
      <c r="AT513" s="19">
        <f t="shared" si="264"/>
        <v>1.54607845531612</v>
      </c>
      <c r="AU513" s="19">
        <f t="shared" si="265"/>
        <v>1</v>
      </c>
      <c r="AV513" s="232">
        <f t="shared" si="245"/>
        <v>0.0399999999999991</v>
      </c>
      <c r="AW513" s="232">
        <f t="shared" si="246"/>
        <v>0.0399999999999991</v>
      </c>
      <c r="AX513" s="232">
        <f t="shared" si="247"/>
        <v>0.0399999999999991</v>
      </c>
      <c r="AY513" s="232">
        <f t="shared" si="248"/>
        <v>0.04</v>
      </c>
      <c r="AZ513" s="232">
        <f t="shared" si="249"/>
        <v>0</v>
      </c>
    </row>
    <row r="514" spans="1:52">
      <c r="A514" s="269"/>
      <c r="C514" s="19">
        <v>391</v>
      </c>
      <c r="D514" s="86">
        <f ca="1" t="shared" si="273"/>
        <v>246.535492315967</v>
      </c>
      <c r="E514" s="251">
        <f ca="1" t="shared" si="250"/>
        <v>0.315779708555295</v>
      </c>
      <c r="F514" s="269">
        <f ca="1" t="shared" si="266"/>
        <v>523.652137275653</v>
      </c>
      <c r="G514" s="283">
        <f ca="1" t="shared" si="267"/>
        <v>165.358719293263</v>
      </c>
      <c r="H514" s="279">
        <f ca="1" t="shared" si="268"/>
        <v>0.179420624588602</v>
      </c>
      <c r="I514" s="269">
        <f ca="1">SUM($J$125:J514)/SUM($H$125:H514)</f>
        <v>0.499414606192486</v>
      </c>
      <c r="J514" s="284">
        <f t="shared" si="274"/>
        <v>0.0616504676475955</v>
      </c>
      <c r="K514" s="19">
        <f t="shared" ref="K514:K577" si="276">K513+100</f>
        <v>40000</v>
      </c>
      <c r="L514" s="269">
        <f t="shared" si="269"/>
        <v>2.99999999999996</v>
      </c>
      <c r="M514" s="226">
        <f ca="1" t="shared" si="270"/>
        <v>266.112</v>
      </c>
      <c r="N514" s="280">
        <f ca="1" t="shared" si="275"/>
        <v>0.117770156940992</v>
      </c>
      <c r="O514" s="226">
        <f t="shared" si="240"/>
        <v>105.6</v>
      </c>
      <c r="P514" s="19">
        <f ca="1" t="shared" si="244"/>
        <v>16.2</v>
      </c>
      <c r="Q514" s="226">
        <f ca="1" t="shared" si="239"/>
        <v>2.52</v>
      </c>
      <c r="R514" s="269">
        <f ca="1" t="shared" si="251"/>
        <v>0.816257210531643</v>
      </c>
      <c r="S514" s="266">
        <f ca="1" t="shared" si="252"/>
        <v>76.6831895484288</v>
      </c>
      <c r="T514" s="226">
        <f ca="1">(1+OFFSET('玩法产出(新)'!$C$18,MATCH(X514,'玩法产出(新)'!$B$19:$B$25,0),1)*(1-V514)+OFFSET('玩法产出(新)'!$C$18,1+MATCH(X514,'玩法产出(新)'!$B$19:$B$25,0),1)*(V514))^AA514*(1+OFFSET('玩法产出(新)'!$C$18,MATCH(X514,'玩法产出(新)'!$B$19:$B$25,0),3)*(1-V514)+OFFSET('玩法产出(新)'!$C$18,1+MATCH(X514,'玩法产出(新)'!$B$19:$B$25,0),3)*(V514))^AB514*(1+OFFSET('玩法产出(新)'!$C$18,MATCH(X514,'玩法产出(新)'!$B$19:$B$25,0),4)*(1-V514)+OFFSET('玩法产出(新)'!$C$18,1+MATCH(X514,'玩法产出(新)'!$B$19:$B$25,0),4)*(V514))^AC514*(1+OFFSET('玩法产出(新)'!$C$18,MATCH(X514,'玩法产出(新)'!$B$19:$B$25,0),5)*(1+V514)+OFFSET('玩法产出(新)'!$C$18,1+MATCH(X514,'玩法产出(新)'!$B$19:$B$25,5),1)*(V514))^AD514*(1+OFFSET('玩法产出(新)'!$C$18,MATCH(X514,'玩法产出(新)'!$B$19:$B$25,0),6)*(1+V514)+OFFSET('玩法产出(新)'!$C$18,1+MATCH(X514,'玩法产出(新)'!$B$19:$B$25,0),6)*(V514))^AE514</f>
        <v>179.160305319171</v>
      </c>
      <c r="U514" s="226">
        <f ca="1" t="shared" si="271"/>
        <v>0.136359083966708</v>
      </c>
      <c r="V514" s="226">
        <f ca="1">COUNTIF($X$124:$X514,X514)/(COUNTIF($X$124:$X$723,X514)+1)</f>
        <v>0.56701030927835</v>
      </c>
      <c r="W514" s="19">
        <v>30</v>
      </c>
      <c r="X514" s="19" t="s">
        <v>326</v>
      </c>
      <c r="Y514" s="19">
        <f t="shared" si="237"/>
        <v>40260</v>
      </c>
      <c r="Z514" s="19">
        <f ca="1" t="shared" si="253"/>
        <v>0.206202228092784</v>
      </c>
      <c r="AA514" s="282">
        <f ca="1" t="shared" si="254"/>
        <v>1.128759375</v>
      </c>
      <c r="AB514" s="282">
        <f ca="1" t="shared" si="255"/>
        <v>18</v>
      </c>
      <c r="AC514" s="282">
        <f ca="1" t="shared" si="256"/>
        <v>8.28285</v>
      </c>
      <c r="AD514" s="282">
        <f ca="1" t="shared" si="257"/>
        <v>2.0707125</v>
      </c>
      <c r="AE514" s="282">
        <f ca="1" t="shared" si="258"/>
        <v>0.517678125</v>
      </c>
      <c r="AF514" s="19" t="str">
        <f t="shared" si="259"/>
        <v>彩3</v>
      </c>
      <c r="AG514" s="19">
        <f>IFERROR(_xlfn.XLOOKUP(C514+1,[2]基因升级!$E$141:$E$500,[2]基因升级!$D$141:$D$500)-1,AG513)</f>
        <v>108</v>
      </c>
      <c r="AH514" s="19">
        <v>8</v>
      </c>
      <c r="AI514" s="19">
        <f t="shared" si="260"/>
        <v>10.5142500606751</v>
      </c>
      <c r="AJ514" s="19">
        <f t="shared" si="272"/>
        <v>0</v>
      </c>
      <c r="AK514" s="269">
        <v>2.0368</v>
      </c>
      <c r="AL514" s="287">
        <f t="shared" si="241"/>
        <v>17.2799999999998</v>
      </c>
      <c r="AM514" s="287">
        <f t="shared" si="242"/>
        <v>13.6799999999999</v>
      </c>
      <c r="AN514" s="287">
        <f t="shared" si="243"/>
        <v>10.08</v>
      </c>
      <c r="AO514" s="287">
        <f t="shared" si="238"/>
        <v>6.48</v>
      </c>
      <c r="AP514" s="86"/>
      <c r="AQ514" s="19">
        <f t="shared" si="261"/>
        <v>3.21922756981132</v>
      </c>
      <c r="AR514" s="19">
        <f t="shared" si="262"/>
        <v>2.52330692007752</v>
      </c>
      <c r="AS514" s="19">
        <f t="shared" si="263"/>
        <v>1.97782780957118</v>
      </c>
      <c r="AT514" s="19">
        <f t="shared" si="264"/>
        <v>1.55026834555384</v>
      </c>
      <c r="AU514" s="19">
        <f t="shared" si="265"/>
        <v>1</v>
      </c>
      <c r="AV514" s="232">
        <f t="shared" si="245"/>
        <v>0.0399999999999991</v>
      </c>
      <c r="AW514" s="232">
        <f t="shared" si="246"/>
        <v>0.0399999999999991</v>
      </c>
      <c r="AX514" s="232">
        <f t="shared" si="247"/>
        <v>0.0399999999999991</v>
      </c>
      <c r="AY514" s="232">
        <f t="shared" si="248"/>
        <v>0.04</v>
      </c>
      <c r="AZ514" s="232">
        <f t="shared" si="249"/>
        <v>0</v>
      </c>
    </row>
    <row r="515" spans="1:52">
      <c r="A515" s="269"/>
      <c r="C515" s="19">
        <v>392</v>
      </c>
      <c r="D515" s="86">
        <f ca="1" t="shared" si="273"/>
        <v>246.850342729006</v>
      </c>
      <c r="E515" s="251">
        <f ca="1" t="shared" si="250"/>
        <v>0.314850413038382</v>
      </c>
      <c r="F515" s="269">
        <f ca="1" t="shared" si="266"/>
        <v>525.764199861354</v>
      </c>
      <c r="G515" s="283">
        <f ca="1" t="shared" si="267"/>
        <v>165.537075487142</v>
      </c>
      <c r="H515" s="279">
        <f ca="1" t="shared" si="268"/>
        <v>0.178356193878614</v>
      </c>
      <c r="I515" s="269">
        <f ca="1">SUM($J$125:J515)/SUM($H$125:H515)</f>
        <v>0.499237435237035</v>
      </c>
      <c r="J515" s="284">
        <f t="shared" si="274"/>
        <v>0.0615170360557755</v>
      </c>
      <c r="K515" s="19">
        <f t="shared" si="276"/>
        <v>40100</v>
      </c>
      <c r="L515" s="269">
        <f t="shared" si="269"/>
        <v>3.00499999999996</v>
      </c>
      <c r="M515" s="226">
        <f ca="1" t="shared" si="270"/>
        <v>268.224</v>
      </c>
      <c r="N515" s="280">
        <f ca="1" t="shared" si="275"/>
        <v>0.116839157822852</v>
      </c>
      <c r="O515" s="226">
        <f t="shared" si="240"/>
        <v>105.6</v>
      </c>
      <c r="P515" s="19">
        <f ca="1" t="shared" si="244"/>
        <v>16.4</v>
      </c>
      <c r="Q515" s="226">
        <f ca="1" t="shared" si="239"/>
        <v>2.54</v>
      </c>
      <c r="R515" s="269">
        <f ca="1" t="shared" si="251"/>
        <v>0.817710128586318</v>
      </c>
      <c r="S515" s="266">
        <f ca="1" t="shared" si="252"/>
        <v>76.8196837675886</v>
      </c>
      <c r="T515" s="226">
        <f ca="1">(1+OFFSET('玩法产出(新)'!$C$18,MATCH(X515,'玩法产出(新)'!$B$19:$B$25,0),1)*(1-V515)+OFFSET('玩法产出(新)'!$C$18,1+MATCH(X515,'玩法产出(新)'!$B$19:$B$25,0),1)*(V515))^AA515*(1+OFFSET('玩法产出(新)'!$C$18,MATCH(X515,'玩法产出(新)'!$B$19:$B$25,0),3)*(1-V515)+OFFSET('玩法产出(新)'!$C$18,1+MATCH(X515,'玩法产出(新)'!$B$19:$B$25,0),3)*(V515))^AB515*(1+OFFSET('玩法产出(新)'!$C$18,MATCH(X515,'玩法产出(新)'!$B$19:$B$25,0),4)*(1-V515)+OFFSET('玩法产出(新)'!$C$18,1+MATCH(X515,'玩法产出(新)'!$B$19:$B$25,0),4)*(V515))^AC515*(1+OFFSET('玩法产出(新)'!$C$18,MATCH(X515,'玩法产出(新)'!$B$19:$B$25,0),5)*(1+V515)+OFFSET('玩法产出(新)'!$C$18,1+MATCH(X515,'玩法产出(新)'!$B$19:$B$25,5),1)*(V515))^AD515*(1+OFFSET('玩法产出(新)'!$C$18,MATCH(X515,'玩法产出(新)'!$B$19:$B$25,0),6)*(1+V515)+OFFSET('玩法产出(新)'!$C$18,1+MATCH(X515,'玩法产出(新)'!$B$19:$B$25,0),6)*(V515))^AE515</f>
        <v>180.822516777262</v>
      </c>
      <c r="U515" s="226">
        <f ca="1" t="shared" si="271"/>
        <v>0.136494219159754</v>
      </c>
      <c r="V515" s="226">
        <f ca="1">COUNTIF($X$124:$X515,X515)/(COUNTIF($X$124:$X$723,X515)+1)</f>
        <v>0.569072164948454</v>
      </c>
      <c r="W515" s="19">
        <v>30</v>
      </c>
      <c r="X515" s="19" t="s">
        <v>326</v>
      </c>
      <c r="Y515" s="19">
        <f t="shared" ref="Y515:Y578" si="277">Y514+100</f>
        <v>40360</v>
      </c>
      <c r="Z515" s="19">
        <f ca="1" t="shared" si="253"/>
        <v>0.201293901030928</v>
      </c>
      <c r="AA515" s="282">
        <f ca="1" t="shared" si="254"/>
        <v>1.10139375</v>
      </c>
      <c r="AB515" s="282">
        <f ca="1" t="shared" si="255"/>
        <v>18</v>
      </c>
      <c r="AC515" s="282">
        <f ca="1" t="shared" si="256"/>
        <v>8.3037</v>
      </c>
      <c r="AD515" s="282">
        <f ca="1" t="shared" si="257"/>
        <v>2.075925</v>
      </c>
      <c r="AE515" s="282">
        <f ca="1" t="shared" si="258"/>
        <v>0.51898125</v>
      </c>
      <c r="AF515" s="19" t="str">
        <f t="shared" si="259"/>
        <v>彩3</v>
      </c>
      <c r="AG515" s="19">
        <f>IFERROR(_xlfn.XLOOKUP(C515+1,[2]基因升级!$E$141:$E$500,[2]基因升级!$D$141:$D$500)-1,AG514)</f>
        <v>108</v>
      </c>
      <c r="AH515" s="19">
        <v>8</v>
      </c>
      <c r="AI515" s="19">
        <f t="shared" si="260"/>
        <v>10.5142500606751</v>
      </c>
      <c r="AJ515" s="19">
        <f t="shared" si="272"/>
        <v>0</v>
      </c>
      <c r="AK515" s="269">
        <v>2.0368</v>
      </c>
      <c r="AL515" s="287">
        <f t="shared" si="241"/>
        <v>17.3199999999998</v>
      </c>
      <c r="AM515" s="287">
        <f t="shared" si="242"/>
        <v>13.7199999999999</v>
      </c>
      <c r="AN515" s="287">
        <f t="shared" si="243"/>
        <v>10.12</v>
      </c>
      <c r="AO515" s="287">
        <f t="shared" si="238"/>
        <v>6.52</v>
      </c>
      <c r="AP515" s="86"/>
      <c r="AQ515" s="19">
        <f t="shared" si="261"/>
        <v>3.22795171322163</v>
      </c>
      <c r="AR515" s="19">
        <f t="shared" si="262"/>
        <v>2.53014511059422</v>
      </c>
      <c r="AS515" s="19">
        <f t="shared" si="263"/>
        <v>1.98318774548047</v>
      </c>
      <c r="AT515" s="19">
        <f t="shared" si="264"/>
        <v>1.55446959044187</v>
      </c>
      <c r="AU515" s="19">
        <f t="shared" si="265"/>
        <v>1</v>
      </c>
      <c r="AV515" s="232">
        <f t="shared" si="245"/>
        <v>0.0399999999999991</v>
      </c>
      <c r="AW515" s="232">
        <f t="shared" si="246"/>
        <v>0.0399999999999991</v>
      </c>
      <c r="AX515" s="232">
        <f t="shared" si="247"/>
        <v>0.0399999999999991</v>
      </c>
      <c r="AY515" s="232">
        <f t="shared" si="248"/>
        <v>0.04</v>
      </c>
      <c r="AZ515" s="232">
        <f t="shared" si="249"/>
        <v>0</v>
      </c>
    </row>
    <row r="516" spans="1:52">
      <c r="A516" s="269"/>
      <c r="C516" s="19">
        <v>393</v>
      </c>
      <c r="D516" s="86">
        <f ca="1" t="shared" si="273"/>
        <v>247.164278971739</v>
      </c>
      <c r="E516" s="251">
        <f ca="1" t="shared" si="250"/>
        <v>0.313936242733146</v>
      </c>
      <c r="F516" s="269">
        <f ca="1" t="shared" si="266"/>
        <v>527.859991596993</v>
      </c>
      <c r="G516" s="283">
        <f ca="1" t="shared" si="267"/>
        <v>165.71438245111</v>
      </c>
      <c r="H516" s="279">
        <f ca="1" t="shared" si="268"/>
        <v>0.177306963968334</v>
      </c>
      <c r="I516" s="269">
        <f ca="1">SUM($J$125:J516)/SUM($H$125:H516)</f>
        <v>0.499063179831821</v>
      </c>
      <c r="J516" s="284">
        <f t="shared" si="274"/>
        <v>0.0613842011294707</v>
      </c>
      <c r="K516" s="19">
        <f t="shared" si="276"/>
        <v>40200</v>
      </c>
      <c r="L516" s="269">
        <f t="shared" si="269"/>
        <v>3.00999999999996</v>
      </c>
      <c r="M516" s="226">
        <f ca="1" t="shared" si="270"/>
        <v>270.336</v>
      </c>
      <c r="N516" s="280">
        <f ca="1" t="shared" si="275"/>
        <v>0.115922762838835</v>
      </c>
      <c r="O516" s="226">
        <f t="shared" si="240"/>
        <v>105.6</v>
      </c>
      <c r="P516" s="19">
        <f ca="1" t="shared" si="244"/>
        <v>16.6</v>
      </c>
      <c r="Q516" s="226">
        <f ca="1" t="shared" si="239"/>
        <v>2.56</v>
      </c>
      <c r="R516" s="269">
        <f ca="1" t="shared" si="251"/>
        <v>0.819164484288243</v>
      </c>
      <c r="S516" s="266">
        <f ca="1" t="shared" si="252"/>
        <v>76.9563130463534</v>
      </c>
      <c r="T516" s="226">
        <f ca="1">(1+OFFSET('玩法产出(新)'!$C$18,MATCH(X516,'玩法产出(新)'!$B$19:$B$25,0),1)*(1-V516)+OFFSET('玩法产出(新)'!$C$18,1+MATCH(X516,'玩法产出(新)'!$B$19:$B$25,0),1)*(V516))^AA516*(1+OFFSET('玩法产出(新)'!$C$18,MATCH(X516,'玩法产出(新)'!$B$19:$B$25,0),3)*(1-V516)+OFFSET('玩法产出(新)'!$C$18,1+MATCH(X516,'玩法产出(新)'!$B$19:$B$25,0),3)*(V516))^AB516*(1+OFFSET('玩法产出(新)'!$C$18,MATCH(X516,'玩法产出(新)'!$B$19:$B$25,0),4)*(1-V516)+OFFSET('玩法产出(新)'!$C$18,1+MATCH(X516,'玩法产出(新)'!$B$19:$B$25,0),4)*(V516))^AC516*(1+OFFSET('玩法产出(新)'!$C$18,MATCH(X516,'玩法产出(新)'!$B$19:$B$25,0),5)*(1+V516)+OFFSET('玩法产出(新)'!$C$18,1+MATCH(X516,'玩法产出(新)'!$B$19:$B$25,5),1)*(V516))^AD516*(1+OFFSET('玩法产出(新)'!$C$18,MATCH(X516,'玩法产出(新)'!$B$19:$B$25,0),6)*(1+V516)+OFFSET('玩法产出(新)'!$C$18,1+MATCH(X516,'玩法产出(新)'!$B$19:$B$25,0),6)*(V516))^AE516</f>
        <v>182.50181756698</v>
      </c>
      <c r="U516" s="226">
        <f ca="1" t="shared" si="271"/>
        <v>0.13662927876484</v>
      </c>
      <c r="V516" s="226">
        <f ca="1">COUNTIF($X$124:$X516,X516)/(COUNTIF($X$124:$X$723,X516)+1)</f>
        <v>0.571134020618557</v>
      </c>
      <c r="W516" s="19">
        <v>30</v>
      </c>
      <c r="X516" s="19" t="s">
        <v>326</v>
      </c>
      <c r="Y516" s="19">
        <f t="shared" si="277"/>
        <v>40460</v>
      </c>
      <c r="Z516" s="19">
        <f ca="1" t="shared" si="253"/>
        <v>0.196381060051546</v>
      </c>
      <c r="AA516" s="282">
        <f ca="1" t="shared" si="254"/>
        <v>1.074028125</v>
      </c>
      <c r="AB516" s="282">
        <f ca="1" t="shared" si="255"/>
        <v>18</v>
      </c>
      <c r="AC516" s="282">
        <f ca="1" t="shared" si="256"/>
        <v>8.32455</v>
      </c>
      <c r="AD516" s="282">
        <f ca="1" t="shared" si="257"/>
        <v>2.0811375</v>
      </c>
      <c r="AE516" s="282">
        <f ca="1" t="shared" si="258"/>
        <v>0.520284375</v>
      </c>
      <c r="AF516" s="19" t="str">
        <f t="shared" si="259"/>
        <v>彩3</v>
      </c>
      <c r="AG516" s="19">
        <f>IFERROR(_xlfn.XLOOKUP(C516+1,[2]基因升级!$E$141:$E$500,[2]基因升级!$D$141:$D$500)-1,AG515)</f>
        <v>108</v>
      </c>
      <c r="AH516" s="19">
        <v>8</v>
      </c>
      <c r="AI516" s="19">
        <f t="shared" si="260"/>
        <v>10.5142500606751</v>
      </c>
      <c r="AJ516" s="19">
        <f t="shared" si="272"/>
        <v>0</v>
      </c>
      <c r="AK516" s="269">
        <v>2.0368</v>
      </c>
      <c r="AL516" s="287">
        <f t="shared" si="241"/>
        <v>17.3599999999998</v>
      </c>
      <c r="AM516" s="287">
        <f t="shared" si="242"/>
        <v>13.7599999999999</v>
      </c>
      <c r="AN516" s="287">
        <f t="shared" si="243"/>
        <v>10.16</v>
      </c>
      <c r="AO516" s="287">
        <f t="shared" si="238"/>
        <v>6.56</v>
      </c>
      <c r="AP516" s="86"/>
      <c r="AQ516" s="19">
        <f t="shared" si="261"/>
        <v>3.23669949916002</v>
      </c>
      <c r="AR516" s="19">
        <f t="shared" si="262"/>
        <v>2.53700183268516</v>
      </c>
      <c r="AS516" s="19">
        <f t="shared" si="263"/>
        <v>1.98856220687717</v>
      </c>
      <c r="AT516" s="19">
        <f t="shared" si="264"/>
        <v>1.55868222075144</v>
      </c>
      <c r="AU516" s="19">
        <f t="shared" si="265"/>
        <v>1</v>
      </c>
      <c r="AV516" s="232">
        <f t="shared" si="245"/>
        <v>0.0399999999999991</v>
      </c>
      <c r="AW516" s="232">
        <f t="shared" si="246"/>
        <v>0.0399999999999991</v>
      </c>
      <c r="AX516" s="232">
        <f t="shared" si="247"/>
        <v>0.0399999999999991</v>
      </c>
      <c r="AY516" s="232">
        <f t="shared" si="248"/>
        <v>0.04</v>
      </c>
      <c r="AZ516" s="232">
        <f t="shared" si="249"/>
        <v>0</v>
      </c>
    </row>
    <row r="517" spans="1:52">
      <c r="A517" s="269"/>
      <c r="C517" s="19">
        <v>394</v>
      </c>
      <c r="D517" s="86">
        <f ca="1" t="shared" si="273"/>
        <v>247.477315824402</v>
      </c>
      <c r="E517" s="251">
        <f ca="1" t="shared" si="250"/>
        <v>0.313036852662979</v>
      </c>
      <c r="F517" s="269">
        <f ca="1" t="shared" si="266"/>
        <v>529.939697609659</v>
      </c>
      <c r="G517" s="283">
        <f ca="1" t="shared" si="267"/>
        <v>165.890655040899</v>
      </c>
      <c r="H517" s="279">
        <f ca="1" t="shared" si="268"/>
        <v>0.176272589788681</v>
      </c>
      <c r="I517" s="269">
        <f ca="1">SUM($J$125:J517)/SUM($H$125:H517)</f>
        <v>0.498891782768855</v>
      </c>
      <c r="J517" s="284">
        <f t="shared" si="274"/>
        <v>0.0612519587592857</v>
      </c>
      <c r="K517" s="19">
        <f t="shared" si="276"/>
        <v>40300</v>
      </c>
      <c r="L517" s="269">
        <f t="shared" si="269"/>
        <v>3.01499999999996</v>
      </c>
      <c r="M517" s="226">
        <f ca="1" t="shared" si="270"/>
        <v>272.448</v>
      </c>
      <c r="N517" s="280">
        <f ca="1" t="shared" si="275"/>
        <v>0.115020631029395</v>
      </c>
      <c r="O517" s="226">
        <f t="shared" si="240"/>
        <v>105.6</v>
      </c>
      <c r="P517" s="19">
        <f ca="1" t="shared" si="244"/>
        <v>16.8</v>
      </c>
      <c r="Q517" s="226">
        <f ca="1" t="shared" si="239"/>
        <v>2.58</v>
      </c>
      <c r="R517" s="269">
        <f ca="1" t="shared" si="251"/>
        <v>0.820620276833801</v>
      </c>
      <c r="S517" s="266">
        <f ca="1" t="shared" si="252"/>
        <v>77.0930773092277</v>
      </c>
      <c r="T517" s="226">
        <f ca="1">(1+OFFSET('玩法产出(新)'!$C$18,MATCH(X517,'玩法产出(新)'!$B$19:$B$25,0),1)*(1-V517)+OFFSET('玩法产出(新)'!$C$18,1+MATCH(X517,'玩法产出(新)'!$B$19:$B$25,0),1)*(V517))^AA517*(1+OFFSET('玩法产出(新)'!$C$18,MATCH(X517,'玩法产出(新)'!$B$19:$B$25,0),3)*(1-V517)+OFFSET('玩法产出(新)'!$C$18,1+MATCH(X517,'玩法产出(新)'!$B$19:$B$25,0),3)*(V517))^AB517*(1+OFFSET('玩法产出(新)'!$C$18,MATCH(X517,'玩法产出(新)'!$B$19:$B$25,0),4)*(1-V517)+OFFSET('玩法产出(新)'!$C$18,1+MATCH(X517,'玩法产出(新)'!$B$19:$B$25,0),4)*(V517))^AC517*(1+OFFSET('玩法产出(新)'!$C$18,MATCH(X517,'玩法产出(新)'!$B$19:$B$25,0),5)*(1+V517)+OFFSET('玩法产出(新)'!$C$18,1+MATCH(X517,'玩法产出(新)'!$B$19:$B$25,5),1)*(V517))^AD517*(1+OFFSET('玩法产出(新)'!$C$18,MATCH(X517,'玩法产出(新)'!$B$19:$B$25,0),6)*(1+V517)+OFFSET('玩法产出(新)'!$C$18,1+MATCH(X517,'玩法产出(新)'!$B$19:$B$25,0),6)*(V517))^AE517</f>
        <v>184.19839628966</v>
      </c>
      <c r="U517" s="226">
        <f ca="1" t="shared" si="271"/>
        <v>0.136764262874298</v>
      </c>
      <c r="V517" s="226">
        <f ca="1">COUNTIF($X$124:$X517,X517)/(COUNTIF($X$124:$X$723,X517)+1)</f>
        <v>0.57319587628866</v>
      </c>
      <c r="W517" s="19">
        <v>30</v>
      </c>
      <c r="X517" s="19" t="s">
        <v>326</v>
      </c>
      <c r="Y517" s="19">
        <f t="shared" si="277"/>
        <v>40560</v>
      </c>
      <c r="Z517" s="19">
        <f ca="1" t="shared" si="253"/>
        <v>0.19146370515464</v>
      </c>
      <c r="AA517" s="282">
        <f ca="1" t="shared" si="254"/>
        <v>1.0466625</v>
      </c>
      <c r="AB517" s="282">
        <f ca="1" t="shared" si="255"/>
        <v>18</v>
      </c>
      <c r="AC517" s="282">
        <f ca="1" t="shared" si="256"/>
        <v>8.3454</v>
      </c>
      <c r="AD517" s="282">
        <f ca="1" t="shared" si="257"/>
        <v>2.08635</v>
      </c>
      <c r="AE517" s="282">
        <f ca="1" t="shared" si="258"/>
        <v>0.5215875</v>
      </c>
      <c r="AF517" s="19" t="str">
        <f t="shared" si="259"/>
        <v>彩3</v>
      </c>
      <c r="AG517" s="19">
        <f>IFERROR(_xlfn.XLOOKUP(C517+1,[2]基因升级!$E$141:$E$500,[2]基因升级!$D$141:$D$500)-1,AG516)</f>
        <v>108</v>
      </c>
      <c r="AH517" s="19">
        <v>8</v>
      </c>
      <c r="AI517" s="19">
        <f t="shared" si="260"/>
        <v>10.5142500606751</v>
      </c>
      <c r="AJ517" s="19">
        <f t="shared" si="272"/>
        <v>0</v>
      </c>
      <c r="AK517" s="269">
        <v>2.0368</v>
      </c>
      <c r="AL517" s="287">
        <f t="shared" si="241"/>
        <v>17.3999999999998</v>
      </c>
      <c r="AM517" s="287">
        <f t="shared" si="242"/>
        <v>13.7999999999999</v>
      </c>
      <c r="AN517" s="287">
        <f t="shared" si="243"/>
        <v>10.2</v>
      </c>
      <c r="AO517" s="287">
        <f t="shared" ref="AO517:AO580" si="278">AN427</f>
        <v>6.6</v>
      </c>
      <c r="AP517" s="86"/>
      <c r="AQ517" s="19">
        <f t="shared" si="261"/>
        <v>3.24547099169803</v>
      </c>
      <c r="AR517" s="19">
        <f t="shared" si="262"/>
        <v>2.54387713657114</v>
      </c>
      <c r="AS517" s="19">
        <f t="shared" si="263"/>
        <v>1.99395123312551</v>
      </c>
      <c r="AT517" s="19">
        <f t="shared" si="264"/>
        <v>1.56290626733716</v>
      </c>
      <c r="AU517" s="19">
        <f t="shared" si="265"/>
        <v>1</v>
      </c>
      <c r="AV517" s="232">
        <f t="shared" si="245"/>
        <v>0.0399999999999991</v>
      </c>
      <c r="AW517" s="232">
        <f t="shared" si="246"/>
        <v>0.0399999999999991</v>
      </c>
      <c r="AX517" s="232">
        <f t="shared" si="247"/>
        <v>0.0399999999999991</v>
      </c>
      <c r="AY517" s="232">
        <f t="shared" si="248"/>
        <v>0.04</v>
      </c>
      <c r="AZ517" s="232">
        <f t="shared" si="249"/>
        <v>0</v>
      </c>
    </row>
    <row r="518" spans="1:52">
      <c r="A518" s="269"/>
      <c r="C518" s="19">
        <v>395</v>
      </c>
      <c r="D518" s="86">
        <f ca="1" t="shared" si="273"/>
        <v>247.789467732823</v>
      </c>
      <c r="E518" s="251">
        <f ca="1" t="shared" si="250"/>
        <v>0.312151908421316</v>
      </c>
      <c r="F518" s="269">
        <f ca="1" t="shared" si="266"/>
        <v>532.003499890824</v>
      </c>
      <c r="G518" s="283">
        <f ca="1" t="shared" si="267"/>
        <v>166.06590777774</v>
      </c>
      <c r="H518" s="279">
        <f ca="1" t="shared" si="268"/>
        <v>0.175252736841117</v>
      </c>
      <c r="I518" s="269">
        <f ca="1">SUM($J$125:J518)/SUM($H$125:H518)</f>
        <v>0.498723188321687</v>
      </c>
      <c r="J518" s="284">
        <f t="shared" si="274"/>
        <v>0.0611203048741942</v>
      </c>
      <c r="K518" s="19">
        <f t="shared" si="276"/>
        <v>40400</v>
      </c>
      <c r="L518" s="269">
        <f t="shared" si="269"/>
        <v>3.01999999999996</v>
      </c>
      <c r="M518" s="226">
        <f ca="1" t="shared" si="270"/>
        <v>274.56</v>
      </c>
      <c r="N518" s="280">
        <f ca="1" t="shared" si="275"/>
        <v>0.114132431966922</v>
      </c>
      <c r="O518" s="226">
        <f t="shared" si="240"/>
        <v>105.6</v>
      </c>
      <c r="P518" s="19">
        <f ca="1" t="shared" si="244"/>
        <v>17</v>
      </c>
      <c r="Q518" s="226">
        <f ca="1" t="shared" si="239"/>
        <v>2.6</v>
      </c>
      <c r="R518" s="269">
        <f ca="1" t="shared" si="251"/>
        <v>0.822077505420355</v>
      </c>
      <c r="S518" s="266">
        <f ca="1" t="shared" si="252"/>
        <v>77.2299764808079</v>
      </c>
      <c r="T518" s="226">
        <f ca="1">(1+OFFSET('玩法产出(新)'!$C$18,MATCH(X518,'玩法产出(新)'!$B$19:$B$25,0),1)*(1-V518)+OFFSET('玩法产出(新)'!$C$18,1+MATCH(X518,'玩法产出(新)'!$B$19:$B$25,0),1)*(V518))^AA518*(1+OFFSET('玩法产出(新)'!$C$18,MATCH(X518,'玩法产出(新)'!$B$19:$B$25,0),3)*(1-V518)+OFFSET('玩法产出(新)'!$C$18,1+MATCH(X518,'玩法产出(新)'!$B$19:$B$25,0),3)*(V518))^AB518*(1+OFFSET('玩法产出(新)'!$C$18,MATCH(X518,'玩法产出(新)'!$B$19:$B$25,0),4)*(1-V518)+OFFSET('玩法产出(新)'!$C$18,1+MATCH(X518,'玩法产出(新)'!$B$19:$B$25,0),4)*(V518))^AC518*(1+OFFSET('玩法产出(新)'!$C$18,MATCH(X518,'玩法产出(新)'!$B$19:$B$25,0),5)*(1+V518)+OFFSET('玩法产出(新)'!$C$18,1+MATCH(X518,'玩法产出(新)'!$B$19:$B$25,5),1)*(V518))^AD518*(1+OFFSET('玩法产出(新)'!$C$18,MATCH(X518,'玩法产出(新)'!$B$19:$B$25,0),6)*(1+V518)+OFFSET('玩法产出(新)'!$C$18,1+MATCH(X518,'玩法产出(新)'!$B$19:$B$25,0),6)*(V518))^AE518</f>
        <v>185.912443749812</v>
      </c>
      <c r="U518" s="226">
        <f ca="1" t="shared" si="271"/>
        <v>0.136899171580199</v>
      </c>
      <c r="V518" s="226">
        <f ca="1">COUNTIF($X$124:$X518,X518)/(COUNTIF($X$124:$X$723,X518)+1)</f>
        <v>0.575257731958763</v>
      </c>
      <c r="W518" s="19">
        <v>30</v>
      </c>
      <c r="X518" s="19" t="s">
        <v>326</v>
      </c>
      <c r="Y518" s="19">
        <f t="shared" si="277"/>
        <v>40660</v>
      </c>
      <c r="Z518" s="19">
        <f ca="1" t="shared" si="253"/>
        <v>0.186541836340206</v>
      </c>
      <c r="AA518" s="282">
        <f ca="1" t="shared" si="254"/>
        <v>1.019296875</v>
      </c>
      <c r="AB518" s="282">
        <f ca="1" t="shared" si="255"/>
        <v>18</v>
      </c>
      <c r="AC518" s="282">
        <f ca="1" t="shared" si="256"/>
        <v>8.36625</v>
      </c>
      <c r="AD518" s="282">
        <f ca="1" t="shared" si="257"/>
        <v>2.0915625</v>
      </c>
      <c r="AE518" s="282">
        <f ca="1" t="shared" si="258"/>
        <v>0.522890625</v>
      </c>
      <c r="AF518" s="19" t="str">
        <f t="shared" si="259"/>
        <v>彩3</v>
      </c>
      <c r="AG518" s="19">
        <f>IFERROR(_xlfn.XLOOKUP(C518+1,[2]基因升级!$E$141:$E$500,[2]基因升级!$D$141:$D$500)-1,AG517)</f>
        <v>108</v>
      </c>
      <c r="AH518" s="19">
        <v>8</v>
      </c>
      <c r="AI518" s="19">
        <f t="shared" si="260"/>
        <v>10.5142500606751</v>
      </c>
      <c r="AJ518" s="19">
        <f t="shared" si="272"/>
        <v>0</v>
      </c>
      <c r="AK518" s="269">
        <v>2.0368</v>
      </c>
      <c r="AL518" s="287">
        <f t="shared" si="241"/>
        <v>17.4399999999998</v>
      </c>
      <c r="AM518" s="287">
        <f t="shared" si="242"/>
        <v>13.8399999999999</v>
      </c>
      <c r="AN518" s="287">
        <f t="shared" si="243"/>
        <v>10.24</v>
      </c>
      <c r="AO518" s="287">
        <f t="shared" si="278"/>
        <v>6.64</v>
      </c>
      <c r="AP518" s="86"/>
      <c r="AQ518" s="19">
        <f t="shared" si="261"/>
        <v>3.2542662550808</v>
      </c>
      <c r="AR518" s="19">
        <f t="shared" si="262"/>
        <v>2.55077107260902</v>
      </c>
      <c r="AS518" s="19">
        <f t="shared" si="263"/>
        <v>1.99935486369642</v>
      </c>
      <c r="AT518" s="19">
        <f t="shared" si="264"/>
        <v>1.56714176113729</v>
      </c>
      <c r="AU518" s="19">
        <f t="shared" si="265"/>
        <v>1</v>
      </c>
      <c r="AV518" s="232">
        <f t="shared" si="245"/>
        <v>0.0399999999999991</v>
      </c>
      <c r="AW518" s="232">
        <f t="shared" si="246"/>
        <v>0.0399999999999991</v>
      </c>
      <c r="AX518" s="232">
        <f t="shared" si="247"/>
        <v>0.0399999999999991</v>
      </c>
      <c r="AY518" s="232">
        <f t="shared" si="248"/>
        <v>0.04</v>
      </c>
      <c r="AZ518" s="232">
        <f t="shared" si="249"/>
        <v>0</v>
      </c>
    </row>
    <row r="519" spans="1:52">
      <c r="A519" s="269"/>
      <c r="C519" s="19">
        <v>396</v>
      </c>
      <c r="D519" s="86">
        <f ca="1" t="shared" si="273"/>
        <v>248.100748818591</v>
      </c>
      <c r="E519" s="251">
        <f ca="1" t="shared" si="250"/>
        <v>0.311281085767603</v>
      </c>
      <c r="F519" s="269">
        <f ca="1" t="shared" si="266"/>
        <v>534.051577366462</v>
      </c>
      <c r="G519" s="283">
        <f ca="1" t="shared" si="267"/>
        <v>166.240154858533</v>
      </c>
      <c r="H519" s="279">
        <f ca="1" t="shared" si="268"/>
        <v>0.174247080793322</v>
      </c>
      <c r="I519" s="269">
        <f ca="1">SUM($J$125:J519)/SUM($H$125:H519)</f>
        <v>0.498557342196719</v>
      </c>
      <c r="J519" s="284">
        <f t="shared" si="274"/>
        <v>0.0609892354413972</v>
      </c>
      <c r="K519" s="19">
        <f t="shared" si="276"/>
        <v>40500</v>
      </c>
      <c r="L519" s="269">
        <f t="shared" si="269"/>
        <v>3.02499999999996</v>
      </c>
      <c r="M519" s="226">
        <f ca="1" t="shared" si="270"/>
        <v>276.672</v>
      </c>
      <c r="N519" s="280">
        <f ca="1" t="shared" si="275"/>
        <v>0.113257845351939</v>
      </c>
      <c r="O519" s="226">
        <f t="shared" si="240"/>
        <v>105.6</v>
      </c>
      <c r="P519" s="19">
        <f ca="1" t="shared" si="244"/>
        <v>17.2</v>
      </c>
      <c r="Q519" s="226">
        <f ca="1" t="shared" si="239"/>
        <v>2.62</v>
      </c>
      <c r="R519" s="269">
        <f ca="1" t="shared" si="251"/>
        <v>0.823536169246247</v>
      </c>
      <c r="S519" s="266">
        <f ca="1" t="shared" si="252"/>
        <v>77.3670104857822</v>
      </c>
      <c r="T519" s="226">
        <f ca="1">(1+OFFSET('玩法产出(新)'!$C$18,MATCH(X519,'玩法产出(新)'!$B$19:$B$25,0),1)*(1-V519)+OFFSET('玩法产出(新)'!$C$18,1+MATCH(X519,'玩法产出(新)'!$B$19:$B$25,0),1)*(V519))^AA519*(1+OFFSET('玩法产出(新)'!$C$18,MATCH(X519,'玩法产出(新)'!$B$19:$B$25,0),3)*(1-V519)+OFFSET('玩法产出(新)'!$C$18,1+MATCH(X519,'玩法产出(新)'!$B$19:$B$25,0),3)*(V519))^AB519*(1+OFFSET('玩法产出(新)'!$C$18,MATCH(X519,'玩法产出(新)'!$B$19:$B$25,0),4)*(1-V519)+OFFSET('玩法产出(新)'!$C$18,1+MATCH(X519,'玩法产出(新)'!$B$19:$B$25,0),4)*(V519))^AC519*(1+OFFSET('玩法产出(新)'!$C$18,MATCH(X519,'玩法产出(新)'!$B$19:$B$25,0),5)*(1+V519)+OFFSET('玩法产出(新)'!$C$18,1+MATCH(X519,'玩法产出(新)'!$B$19:$B$25,5),1)*(V519))^AD519*(1+OFFSET('玩法产出(新)'!$C$18,MATCH(X519,'玩法产出(新)'!$B$19:$B$25,0),6)*(1+V519)+OFFSET('玩法产出(新)'!$C$18,1+MATCH(X519,'玩法产出(新)'!$B$19:$B$25,0),6)*(V519))^AE519</f>
        <v>187.644152982108</v>
      </c>
      <c r="U519" s="226">
        <f ca="1" t="shared" si="271"/>
        <v>0.137034004974267</v>
      </c>
      <c r="V519" s="226">
        <f ca="1">COUNTIF($X$124:$X519,X519)/(COUNTIF($X$124:$X$723,X519)+1)</f>
        <v>0.577319587628866</v>
      </c>
      <c r="W519" s="19">
        <v>30</v>
      </c>
      <c r="X519" s="19" t="s">
        <v>326</v>
      </c>
      <c r="Y519" s="19">
        <f t="shared" si="277"/>
        <v>40760</v>
      </c>
      <c r="Z519" s="19">
        <f ca="1" t="shared" si="253"/>
        <v>0.181615453608247</v>
      </c>
      <c r="AA519" s="282">
        <f ca="1" t="shared" si="254"/>
        <v>0.99193125</v>
      </c>
      <c r="AB519" s="282">
        <f ca="1" t="shared" si="255"/>
        <v>18</v>
      </c>
      <c r="AC519" s="282">
        <f ca="1" t="shared" si="256"/>
        <v>8.3871</v>
      </c>
      <c r="AD519" s="282">
        <f ca="1" t="shared" si="257"/>
        <v>2.096775</v>
      </c>
      <c r="AE519" s="282">
        <f ca="1" t="shared" si="258"/>
        <v>0.52419375</v>
      </c>
      <c r="AF519" s="19" t="str">
        <f t="shared" si="259"/>
        <v>彩3</v>
      </c>
      <c r="AG519" s="19">
        <f>IFERROR(_xlfn.XLOOKUP(C519+1,[2]基因升级!$E$141:$E$500,[2]基因升级!$D$141:$D$500)-1,AG518)</f>
        <v>108</v>
      </c>
      <c r="AH519" s="19">
        <v>8</v>
      </c>
      <c r="AI519" s="19">
        <f t="shared" si="260"/>
        <v>10.5142500606751</v>
      </c>
      <c r="AJ519" s="19">
        <f t="shared" si="272"/>
        <v>0</v>
      </c>
      <c r="AK519" s="269">
        <v>2.0368</v>
      </c>
      <c r="AL519" s="287">
        <f t="shared" si="241"/>
        <v>17.4799999999998</v>
      </c>
      <c r="AM519" s="287">
        <f t="shared" si="242"/>
        <v>13.8799999999999</v>
      </c>
      <c r="AN519" s="287">
        <f t="shared" si="243"/>
        <v>10.28</v>
      </c>
      <c r="AO519" s="287">
        <f t="shared" si="278"/>
        <v>6.68</v>
      </c>
      <c r="AP519" s="86"/>
      <c r="AQ519" s="19">
        <f t="shared" si="261"/>
        <v>3.2630853537276</v>
      </c>
      <c r="AR519" s="19">
        <f t="shared" si="262"/>
        <v>2.55768369129214</v>
      </c>
      <c r="AS519" s="19">
        <f t="shared" si="263"/>
        <v>2.00477313816778</v>
      </c>
      <c r="AT519" s="19">
        <f t="shared" si="264"/>
        <v>1.57138873317389</v>
      </c>
      <c r="AU519" s="19">
        <f t="shared" si="265"/>
        <v>1</v>
      </c>
      <c r="AV519" s="232">
        <f t="shared" si="245"/>
        <v>0.0399999999999991</v>
      </c>
      <c r="AW519" s="232">
        <f t="shared" si="246"/>
        <v>0.0399999999999991</v>
      </c>
      <c r="AX519" s="232">
        <f t="shared" si="247"/>
        <v>0.0399999999999991</v>
      </c>
      <c r="AY519" s="232">
        <f t="shared" si="248"/>
        <v>0.04</v>
      </c>
      <c r="AZ519" s="232">
        <f t="shared" si="249"/>
        <v>0</v>
      </c>
    </row>
    <row r="520" spans="1:52">
      <c r="A520" s="269"/>
      <c r="C520" s="19">
        <v>397</v>
      </c>
      <c r="D520" s="86">
        <f ca="1" t="shared" si="273"/>
        <v>248.411172888833</v>
      </c>
      <c r="E520" s="251">
        <f ca="1" t="shared" si="250"/>
        <v>0.310424070242308</v>
      </c>
      <c r="F520" s="269">
        <f ca="1" t="shared" si="266"/>
        <v>536.084105964237</v>
      </c>
      <c r="G520" s="283">
        <f ca="1" t="shared" si="267"/>
        <v>166.413410165627</v>
      </c>
      <c r="H520" s="279">
        <f ca="1" t="shared" si="268"/>
        <v>0.173255307093854</v>
      </c>
      <c r="I520" s="269">
        <f ca="1">SUM($J$125:J520)/SUM($H$125:H520)</f>
        <v>0.498394191486472</v>
      </c>
      <c r="J520" s="284">
        <f t="shared" si="274"/>
        <v>0.060858746465513</v>
      </c>
      <c r="K520" s="19">
        <f t="shared" si="276"/>
        <v>40600</v>
      </c>
      <c r="L520" s="269">
        <f t="shared" si="269"/>
        <v>3.02999999999996</v>
      </c>
      <c r="M520" s="226">
        <f ca="1" t="shared" si="270"/>
        <v>278.784</v>
      </c>
      <c r="N520" s="280">
        <f ca="1" t="shared" si="275"/>
        <v>0.112396560628355</v>
      </c>
      <c r="O520" s="226">
        <f t="shared" si="240"/>
        <v>105.6</v>
      </c>
      <c r="P520" s="19">
        <f ca="1" t="shared" si="244"/>
        <v>17.4</v>
      </c>
      <c r="Q520" s="226">
        <f ca="1" t="shared" si="239"/>
        <v>2.64</v>
      </c>
      <c r="R520" s="269">
        <f ca="1" t="shared" si="251"/>
        <v>0.824996267510794</v>
      </c>
      <c r="S520" s="266">
        <f ca="1" t="shared" si="252"/>
        <v>77.5041792489306</v>
      </c>
      <c r="T520" s="226">
        <f ca="1">(1+OFFSET('玩法产出(新)'!$C$18,MATCH(X520,'玩法产出(新)'!$B$19:$B$25,0),1)*(1-V520)+OFFSET('玩法产出(新)'!$C$18,1+MATCH(X520,'玩法产出(新)'!$B$19:$B$25,0),1)*(V520))^AA520*(1+OFFSET('玩法产出(新)'!$C$18,MATCH(X520,'玩法产出(新)'!$B$19:$B$25,0),3)*(1-V520)+OFFSET('玩法产出(新)'!$C$18,1+MATCH(X520,'玩法产出(新)'!$B$19:$B$25,0),3)*(V520))^AB520*(1+OFFSET('玩法产出(新)'!$C$18,MATCH(X520,'玩法产出(新)'!$B$19:$B$25,0),4)*(1-V520)+OFFSET('玩法产出(新)'!$C$18,1+MATCH(X520,'玩法产出(新)'!$B$19:$B$25,0),4)*(V520))^AC520*(1+OFFSET('玩法产出(新)'!$C$18,MATCH(X520,'玩法产出(新)'!$B$19:$B$25,0),5)*(1+V520)+OFFSET('玩法产出(新)'!$C$18,1+MATCH(X520,'玩法产出(新)'!$B$19:$B$25,5),1)*(V520))^AD520*(1+OFFSET('玩法产出(新)'!$C$18,MATCH(X520,'玩法产出(新)'!$B$19:$B$25,0),6)*(1+V520)+OFFSET('玩法产出(新)'!$C$18,1+MATCH(X520,'玩法产出(新)'!$B$19:$B$25,0),6)*(V520))^AE520</f>
        <v>189.39371927872</v>
      </c>
      <c r="U520" s="226">
        <f ca="1" t="shared" si="271"/>
        <v>0.13716876314844</v>
      </c>
      <c r="V520" s="226">
        <f ca="1">COUNTIF($X$124:$X520,X520)/(COUNTIF($X$124:$X$723,X520)+1)</f>
        <v>0.579381443298969</v>
      </c>
      <c r="W520" s="19">
        <v>30</v>
      </c>
      <c r="X520" s="19" t="s">
        <v>326</v>
      </c>
      <c r="Y520" s="19">
        <f t="shared" si="277"/>
        <v>40860</v>
      </c>
      <c r="Z520" s="19">
        <f ca="1" t="shared" si="253"/>
        <v>0.176684556958763</v>
      </c>
      <c r="AA520" s="282">
        <f ca="1" t="shared" si="254"/>
        <v>0.964565624999999</v>
      </c>
      <c r="AB520" s="282">
        <f ca="1" t="shared" si="255"/>
        <v>18</v>
      </c>
      <c r="AC520" s="282">
        <f ca="1" t="shared" si="256"/>
        <v>8.40795</v>
      </c>
      <c r="AD520" s="282">
        <f ca="1" t="shared" si="257"/>
        <v>2.1019875</v>
      </c>
      <c r="AE520" s="282">
        <f ca="1" t="shared" si="258"/>
        <v>0.525496875</v>
      </c>
      <c r="AF520" s="19" t="str">
        <f t="shared" si="259"/>
        <v>彩3</v>
      </c>
      <c r="AG520" s="19">
        <f>IFERROR(_xlfn.XLOOKUP(C520+1,[2]基因升级!$E$141:$E$500,[2]基因升级!$D$141:$D$500)-1,AG519)</f>
        <v>108</v>
      </c>
      <c r="AH520" s="19">
        <v>8</v>
      </c>
      <c r="AI520" s="19">
        <f t="shared" si="260"/>
        <v>10.5142500606751</v>
      </c>
      <c r="AJ520" s="19">
        <f t="shared" si="272"/>
        <v>0</v>
      </c>
      <c r="AK520" s="269">
        <v>2.0368</v>
      </c>
      <c r="AL520" s="287">
        <f t="shared" si="241"/>
        <v>17.5199999999998</v>
      </c>
      <c r="AM520" s="287">
        <f t="shared" si="242"/>
        <v>13.9199999999999</v>
      </c>
      <c r="AN520" s="287">
        <f t="shared" si="243"/>
        <v>10.32</v>
      </c>
      <c r="AO520" s="287">
        <f t="shared" si="278"/>
        <v>6.72</v>
      </c>
      <c r="AP520" s="86"/>
      <c r="AQ520" s="19">
        <f t="shared" si="261"/>
        <v>3.27192835223226</v>
      </c>
      <c r="AR520" s="19">
        <f t="shared" si="262"/>
        <v>2.56461504325069</v>
      </c>
      <c r="AS520" s="19">
        <f t="shared" si="263"/>
        <v>2.01020609622471</v>
      </c>
      <c r="AT520" s="19">
        <f t="shared" si="264"/>
        <v>1.57564721455312</v>
      </c>
      <c r="AU520" s="19">
        <f t="shared" si="265"/>
        <v>1</v>
      </c>
      <c r="AV520" s="232">
        <f t="shared" si="245"/>
        <v>0.0399999999999991</v>
      </c>
      <c r="AW520" s="232">
        <f t="shared" si="246"/>
        <v>0.0399999999999991</v>
      </c>
      <c r="AX520" s="232">
        <f t="shared" si="247"/>
        <v>0.0399999999999991</v>
      </c>
      <c r="AY520" s="232">
        <f t="shared" si="248"/>
        <v>0.04</v>
      </c>
      <c r="AZ520" s="232">
        <f t="shared" si="249"/>
        <v>0</v>
      </c>
    </row>
    <row r="521" spans="1:52">
      <c r="A521" s="269"/>
      <c r="C521" s="19">
        <v>398</v>
      </c>
      <c r="D521" s="86">
        <f ca="1" t="shared" si="273"/>
        <v>248.720753445631</v>
      </c>
      <c r="E521" s="251">
        <f ca="1" t="shared" si="250"/>
        <v>0.309580556797993</v>
      </c>
      <c r="F521" s="269">
        <f ca="1" t="shared" si="266"/>
        <v>538.101258681213</v>
      </c>
      <c r="G521" s="283">
        <f ca="1" t="shared" si="267"/>
        <v>166.585687276231</v>
      </c>
      <c r="H521" s="279">
        <f ca="1" t="shared" si="268"/>
        <v>0.172277110603829</v>
      </c>
      <c r="I521" s="269">
        <f ca="1">SUM($J$125:J521)/SUM($H$125:H521)</f>
        <v>0.498233684624704</v>
      </c>
      <c r="J521" s="284">
        <f t="shared" si="274"/>
        <v>0.0607288339883922</v>
      </c>
      <c r="K521" s="19">
        <f t="shared" si="276"/>
        <v>40700</v>
      </c>
      <c r="L521" s="269">
        <f t="shared" si="269"/>
        <v>3.03499999999996</v>
      </c>
      <c r="M521" s="226">
        <f ca="1" t="shared" si="270"/>
        <v>280.896</v>
      </c>
      <c r="N521" s="280">
        <f ca="1" t="shared" si="275"/>
        <v>0.111548276615423</v>
      </c>
      <c r="O521" s="226">
        <f t="shared" si="240"/>
        <v>105.6</v>
      </c>
      <c r="P521" s="19">
        <f ca="1" t="shared" si="244"/>
        <v>17.6</v>
      </c>
      <c r="Q521" s="226">
        <f ca="1" t="shared" ref="Q521:Q584" si="279">_xlfn.XLOOKUP(O521,$D$76:$D$95,$E$76:$E$95)*(P521-1)+1</f>
        <v>2.66</v>
      </c>
      <c r="R521" s="269">
        <f ca="1" t="shared" si="251"/>
        <v>0.82645779941429</v>
      </c>
      <c r="S521" s="266">
        <f ca="1" t="shared" si="252"/>
        <v>77.6414826951248</v>
      </c>
      <c r="T521" s="226">
        <f ca="1">(1+OFFSET('玩法产出(新)'!$C$18,MATCH(X521,'玩法产出(新)'!$B$19:$B$25,0),1)*(1-V521)+OFFSET('玩法产出(新)'!$C$18,1+MATCH(X521,'玩法产出(新)'!$B$19:$B$25,0),1)*(V521))^AA521*(1+OFFSET('玩法产出(新)'!$C$18,MATCH(X521,'玩法产出(新)'!$B$19:$B$25,0),3)*(1-V521)+OFFSET('玩法产出(新)'!$C$18,1+MATCH(X521,'玩法产出(新)'!$B$19:$B$25,0),3)*(V521))^AB521*(1+OFFSET('玩法产出(新)'!$C$18,MATCH(X521,'玩法产出(新)'!$B$19:$B$25,0),4)*(1-V521)+OFFSET('玩法产出(新)'!$C$18,1+MATCH(X521,'玩法产出(新)'!$B$19:$B$25,0),4)*(V521))^AC521*(1+OFFSET('玩法产出(新)'!$C$18,MATCH(X521,'玩法产出(新)'!$B$19:$B$25,0),5)*(1+V521)+OFFSET('玩法产出(新)'!$C$18,1+MATCH(X521,'玩法产出(新)'!$B$19:$B$25,5),1)*(V521))^AD521*(1+OFFSET('玩法产出(新)'!$C$18,MATCH(X521,'玩法产出(新)'!$B$19:$B$25,0),6)*(1+V521)+OFFSET('玩法产出(新)'!$C$18,1+MATCH(X521,'玩法产出(新)'!$B$19:$B$25,0),6)*(V521))^AE521</f>
        <v>191.161340216996</v>
      </c>
      <c r="U521" s="226">
        <f ca="1" t="shared" si="271"/>
        <v>0.137303446194178</v>
      </c>
      <c r="V521" s="226">
        <f ca="1">COUNTIF($X$124:$X521,X521)/(COUNTIF($X$124:$X$723,X521)+1)</f>
        <v>0.581443298969072</v>
      </c>
      <c r="W521" s="19">
        <v>30</v>
      </c>
      <c r="X521" s="19" t="s">
        <v>326</v>
      </c>
      <c r="Y521" s="19">
        <f t="shared" si="277"/>
        <v>40960</v>
      </c>
      <c r="Z521" s="19">
        <f ca="1" t="shared" si="253"/>
        <v>0.171749146391752</v>
      </c>
      <c r="AA521" s="282">
        <f ca="1" t="shared" si="254"/>
        <v>0.937199999999997</v>
      </c>
      <c r="AB521" s="282">
        <f ca="1" t="shared" si="255"/>
        <v>18</v>
      </c>
      <c r="AC521" s="282">
        <f ca="1" t="shared" si="256"/>
        <v>8.4288</v>
      </c>
      <c r="AD521" s="282">
        <f ca="1" t="shared" si="257"/>
        <v>2.1072</v>
      </c>
      <c r="AE521" s="282">
        <f ca="1" t="shared" si="258"/>
        <v>0.5268</v>
      </c>
      <c r="AF521" s="19" t="str">
        <f t="shared" si="259"/>
        <v>彩3</v>
      </c>
      <c r="AG521" s="19">
        <f>IFERROR(_xlfn.XLOOKUP(C521+1,[2]基因升级!$E$141:$E$500,[2]基因升级!$D$141:$D$500)-1,AG520)</f>
        <v>108</v>
      </c>
      <c r="AH521" s="19">
        <v>8</v>
      </c>
      <c r="AI521" s="19">
        <f t="shared" si="260"/>
        <v>10.5142500606751</v>
      </c>
      <c r="AJ521" s="19">
        <f t="shared" si="272"/>
        <v>0</v>
      </c>
      <c r="AK521" s="269">
        <v>2.0368</v>
      </c>
      <c r="AL521" s="287">
        <f t="shared" si="241"/>
        <v>17.5599999999998</v>
      </c>
      <c r="AM521" s="287">
        <f t="shared" si="242"/>
        <v>13.9599999999999</v>
      </c>
      <c r="AN521" s="287">
        <f t="shared" si="243"/>
        <v>10.3599999999999</v>
      </c>
      <c r="AO521" s="287">
        <f t="shared" si="278"/>
        <v>6.76</v>
      </c>
      <c r="AP521" s="86"/>
      <c r="AQ521" s="19">
        <f t="shared" si="261"/>
        <v>3.28079531536367</v>
      </c>
      <c r="AR521" s="19">
        <f t="shared" si="262"/>
        <v>2.57156517925207</v>
      </c>
      <c r="AS521" s="19">
        <f t="shared" si="263"/>
        <v>2.01565377765991</v>
      </c>
      <c r="AT521" s="19">
        <f t="shared" si="264"/>
        <v>1.57991723646543</v>
      </c>
      <c r="AU521" s="19">
        <f t="shared" si="265"/>
        <v>1</v>
      </c>
      <c r="AV521" s="232">
        <f t="shared" si="245"/>
        <v>0.0399999999999991</v>
      </c>
      <c r="AW521" s="232">
        <f t="shared" si="246"/>
        <v>0.0399999999999991</v>
      </c>
      <c r="AX521" s="232">
        <f t="shared" si="247"/>
        <v>0.0399999999999991</v>
      </c>
      <c r="AY521" s="232">
        <f t="shared" si="248"/>
        <v>0.04</v>
      </c>
      <c r="AZ521" s="232">
        <f t="shared" si="249"/>
        <v>0</v>
      </c>
    </row>
    <row r="522" spans="1:52">
      <c r="A522" s="269"/>
      <c r="C522" s="19">
        <v>399</v>
      </c>
      <c r="D522" s="86">
        <f ca="1" t="shared" si="273"/>
        <v>249.029503695079</v>
      </c>
      <c r="E522" s="251">
        <f ca="1" t="shared" si="250"/>
        <v>0.308750249448404</v>
      </c>
      <c r="F522" s="269">
        <f ca="1" t="shared" si="266"/>
        <v>540.103205647267</v>
      </c>
      <c r="G522" s="283">
        <f ca="1" t="shared" si="267"/>
        <v>166.756999471476</v>
      </c>
      <c r="H522" s="279">
        <f ca="1" t="shared" si="268"/>
        <v>0.17131219524552</v>
      </c>
      <c r="I522" s="269">
        <f ca="1">SUM($J$125:J522)/SUM($H$125:H522)</f>
        <v>0.498075771343299</v>
      </c>
      <c r="J522" s="284">
        <f t="shared" si="274"/>
        <v>0.0605994940886632</v>
      </c>
      <c r="K522" s="19">
        <f t="shared" si="276"/>
        <v>40800</v>
      </c>
      <c r="L522" s="269">
        <f t="shared" si="269"/>
        <v>3.03999999999996</v>
      </c>
      <c r="M522" s="226">
        <f ca="1" t="shared" si="270"/>
        <v>283.008</v>
      </c>
      <c r="N522" s="280">
        <f ca="1" t="shared" si="275"/>
        <v>0.110712701156842</v>
      </c>
      <c r="O522" s="226">
        <f t="shared" ref="O522:O585" si="280">IF(MOD(C522,60)=0,_xlfn.XLOOKUP(_xlfn.XLOOKUP(O521,$D$76:$D$95,$C$76:$C$95)+1,$C$76:$C$95,$D$76:$D$95),O521)</f>
        <v>105.6</v>
      </c>
      <c r="P522" s="19">
        <f ca="1" t="shared" si="244"/>
        <v>17.8</v>
      </c>
      <c r="Q522" s="226">
        <f ca="1" t="shared" si="279"/>
        <v>2.68</v>
      </c>
      <c r="R522" s="269">
        <f ca="1" t="shared" si="251"/>
        <v>0.827920764158</v>
      </c>
      <c r="S522" s="266">
        <f ca="1" t="shared" si="252"/>
        <v>77.7789207493277</v>
      </c>
      <c r="T522" s="226">
        <f ca="1">(1+OFFSET('玩法产出(新)'!$C$18,MATCH(X522,'玩法产出(新)'!$B$19:$B$25,0),1)*(1-V522)+OFFSET('玩法产出(新)'!$C$18,1+MATCH(X522,'玩法产出(新)'!$B$19:$B$25,0),1)*(V522))^AA522*(1+OFFSET('玩法产出(新)'!$C$18,MATCH(X522,'玩法产出(新)'!$B$19:$B$25,0),3)*(1-V522)+OFFSET('玩法产出(新)'!$C$18,1+MATCH(X522,'玩法产出(新)'!$B$19:$B$25,0),3)*(V522))^AB522*(1+OFFSET('玩法产出(新)'!$C$18,MATCH(X522,'玩法产出(新)'!$B$19:$B$25,0),4)*(1-V522)+OFFSET('玩法产出(新)'!$C$18,1+MATCH(X522,'玩法产出(新)'!$B$19:$B$25,0),4)*(V522))^AC522*(1+OFFSET('玩法产出(新)'!$C$18,MATCH(X522,'玩法产出(新)'!$B$19:$B$25,0),5)*(1+V522)+OFFSET('玩法产出(新)'!$C$18,1+MATCH(X522,'玩法产出(新)'!$B$19:$B$25,5),1)*(V522))^AD522*(1+OFFSET('玩法产出(新)'!$C$18,MATCH(X522,'玩法产出(新)'!$B$19:$B$25,0),6)*(1+V522)+OFFSET('玩法产出(新)'!$C$18,1+MATCH(X522,'玩法产出(新)'!$B$19:$B$25,0),6)*(V522))^AE522</f>
        <v>192.947215687499</v>
      </c>
      <c r="U522" s="226">
        <f ca="1" t="shared" si="271"/>
        <v>0.137438054202898</v>
      </c>
      <c r="V522" s="226">
        <f ca="1">COUNTIF($X$124:$X522,X522)/(COUNTIF($X$124:$X$723,X522)+1)</f>
        <v>0.583505154639175</v>
      </c>
      <c r="W522" s="19">
        <v>30</v>
      </c>
      <c r="X522" s="19" t="s">
        <v>326</v>
      </c>
      <c r="Y522" s="19">
        <f t="shared" si="277"/>
        <v>41060</v>
      </c>
      <c r="Z522" s="19">
        <f ca="1" t="shared" si="253"/>
        <v>0.166809221907216</v>
      </c>
      <c r="AA522" s="282">
        <f ca="1" t="shared" si="254"/>
        <v>0.909834374999999</v>
      </c>
      <c r="AB522" s="282">
        <f ca="1" t="shared" si="255"/>
        <v>18</v>
      </c>
      <c r="AC522" s="282">
        <f ca="1" t="shared" si="256"/>
        <v>8.44965</v>
      </c>
      <c r="AD522" s="282">
        <f ca="1" t="shared" si="257"/>
        <v>2.1124125</v>
      </c>
      <c r="AE522" s="282">
        <f ca="1" t="shared" si="258"/>
        <v>0.528103125</v>
      </c>
      <c r="AF522" s="19" t="str">
        <f t="shared" si="259"/>
        <v>彩3</v>
      </c>
      <c r="AG522" s="19">
        <f>IFERROR(_xlfn.XLOOKUP(C522+1,[2]基因升级!$E$141:$E$500,[2]基因升级!$D$141:$D$500)-1,AG521)</f>
        <v>109</v>
      </c>
      <c r="AH522" s="19">
        <v>8</v>
      </c>
      <c r="AI522" s="19">
        <f t="shared" si="260"/>
        <v>10.5142500606751</v>
      </c>
      <c r="AJ522" s="19">
        <f t="shared" si="272"/>
        <v>0</v>
      </c>
      <c r="AK522" s="269">
        <v>2.0368</v>
      </c>
      <c r="AL522" s="287">
        <f t="shared" si="241"/>
        <v>17.5999999999998</v>
      </c>
      <c r="AM522" s="287">
        <f t="shared" si="242"/>
        <v>13.9999999999999</v>
      </c>
      <c r="AN522" s="287">
        <f t="shared" si="243"/>
        <v>10.3999999999999</v>
      </c>
      <c r="AO522" s="287">
        <f t="shared" si="278"/>
        <v>6.8</v>
      </c>
      <c r="AP522" s="86"/>
      <c r="AQ522" s="19">
        <f t="shared" si="261"/>
        <v>3.28968630806623</v>
      </c>
      <c r="AR522" s="19">
        <f t="shared" si="262"/>
        <v>2.57853415020123</v>
      </c>
      <c r="AS522" s="19">
        <f t="shared" si="263"/>
        <v>2.0211162223739</v>
      </c>
      <c r="AT522" s="19">
        <f t="shared" si="264"/>
        <v>1.5841988301858</v>
      </c>
      <c r="AU522" s="19">
        <f t="shared" si="265"/>
        <v>1</v>
      </c>
      <c r="AV522" s="232">
        <f t="shared" si="245"/>
        <v>0.0399999999999991</v>
      </c>
      <c r="AW522" s="232">
        <f t="shared" si="246"/>
        <v>0.0399999999999991</v>
      </c>
      <c r="AX522" s="232">
        <f t="shared" si="247"/>
        <v>0.0399999999999991</v>
      </c>
      <c r="AY522" s="232">
        <f t="shared" si="248"/>
        <v>0.04</v>
      </c>
      <c r="AZ522" s="232">
        <f t="shared" si="249"/>
        <v>0</v>
      </c>
    </row>
    <row r="523" spans="1:52">
      <c r="A523" s="269"/>
      <c r="C523" s="19">
        <v>400</v>
      </c>
      <c r="D523" s="86">
        <f ca="1" t="shared" si="273"/>
        <v>249.337436556011</v>
      </c>
      <c r="E523" s="251">
        <f ca="1" t="shared" si="250"/>
        <v>0.307932860932012</v>
      </c>
      <c r="F523" s="269">
        <f ca="1" t="shared" si="266"/>
        <v>542.09011418888</v>
      </c>
      <c r="G523" s="283">
        <f ca="1" t="shared" si="267"/>
        <v>166.927359745143</v>
      </c>
      <c r="H523" s="279">
        <f ca="1" t="shared" si="268"/>
        <v>0.170360273666262</v>
      </c>
      <c r="I523" s="269">
        <f ca="1">SUM($J$125:J523)/SUM($H$125:H523)</f>
        <v>0.497920402630851</v>
      </c>
      <c r="J523" s="284">
        <f t="shared" si="274"/>
        <v>0.0604707228811066</v>
      </c>
      <c r="K523" s="19">
        <f t="shared" si="276"/>
        <v>40900</v>
      </c>
      <c r="L523" s="269">
        <f t="shared" si="269"/>
        <v>3.04499999999996</v>
      </c>
      <c r="M523" s="226">
        <f ca="1" t="shared" si="270"/>
        <v>285.12</v>
      </c>
      <c r="N523" s="280">
        <f ca="1" t="shared" si="275"/>
        <v>0.109889550785155</v>
      </c>
      <c r="O523" s="226">
        <f t="shared" si="280"/>
        <v>105.6</v>
      </c>
      <c r="P523" s="19">
        <f ca="1" t="shared" si="244"/>
        <v>18</v>
      </c>
      <c r="Q523" s="226">
        <f ca="1" t="shared" si="279"/>
        <v>2.7</v>
      </c>
      <c r="R523" s="269">
        <f ca="1" t="shared" si="251"/>
        <v>0.829385160944159</v>
      </c>
      <c r="S523" s="266">
        <f ca="1" t="shared" si="252"/>
        <v>77.9164933365934</v>
      </c>
      <c r="T523" s="226">
        <f ca="1">(1+OFFSET('玩法产出(新)'!$C$18,MATCH(X523,'玩法产出(新)'!$B$19:$B$25,0),1)*(1-V523)+OFFSET('玩法产出(新)'!$C$18,1+MATCH(X523,'玩法产出(新)'!$B$19:$B$25,0),1)*(V523))^AA523*(1+OFFSET('玩法产出(新)'!$C$18,MATCH(X523,'玩法产出(新)'!$B$19:$B$25,0),3)*(1-V523)+OFFSET('玩法产出(新)'!$C$18,1+MATCH(X523,'玩法产出(新)'!$B$19:$B$25,0),3)*(V523))^AB523*(1+OFFSET('玩法产出(新)'!$C$18,MATCH(X523,'玩法产出(新)'!$B$19:$B$25,0),4)*(1-V523)+OFFSET('玩法产出(新)'!$C$18,1+MATCH(X523,'玩法产出(新)'!$B$19:$B$25,0),4)*(V523))^AC523*(1+OFFSET('玩法产出(新)'!$C$18,MATCH(X523,'玩法产出(新)'!$B$19:$B$25,0),5)*(1+V523)+OFFSET('玩法产出(新)'!$C$18,1+MATCH(X523,'玩法产出(新)'!$B$19:$B$25,5),1)*(V523))^AD523*(1+OFFSET('玩法产出(新)'!$C$18,MATCH(X523,'玩法产出(新)'!$B$19:$B$25,0),6)*(1+V523)+OFFSET('玩法产出(新)'!$C$18,1+MATCH(X523,'玩法产出(新)'!$B$19:$B$25,0),6)*(V523))^AE523</f>
        <v>194.751547922397</v>
      </c>
      <c r="U523" s="226">
        <f ca="1" t="shared" si="271"/>
        <v>0.13757258726575</v>
      </c>
      <c r="V523" s="226">
        <f ca="1">COUNTIF($X$124:$X523,X523)/(COUNTIF($X$124:$X$723,X523)+1)</f>
        <v>0.585567010309278</v>
      </c>
      <c r="W523" s="19">
        <v>30</v>
      </c>
      <c r="X523" s="19" t="s">
        <v>326</v>
      </c>
      <c r="Y523" s="19">
        <f t="shared" si="277"/>
        <v>41160</v>
      </c>
      <c r="Z523" s="19">
        <f ca="1" t="shared" si="253"/>
        <v>0.161864783505154</v>
      </c>
      <c r="AA523" s="282">
        <f ca="1" t="shared" si="254"/>
        <v>0.882468749999997</v>
      </c>
      <c r="AB523" s="282">
        <f ca="1" t="shared" si="255"/>
        <v>18</v>
      </c>
      <c r="AC523" s="282">
        <f ca="1" t="shared" si="256"/>
        <v>8.4705</v>
      </c>
      <c r="AD523" s="282">
        <f ca="1" t="shared" si="257"/>
        <v>2.117625</v>
      </c>
      <c r="AE523" s="282">
        <f ca="1" t="shared" si="258"/>
        <v>0.52940625</v>
      </c>
      <c r="AF523" s="19" t="str">
        <f t="shared" si="259"/>
        <v>彩3</v>
      </c>
      <c r="AG523" s="19">
        <f>IFERROR(_xlfn.XLOOKUP(C523+1,[2]基因升级!$E$141:$E$500,[2]基因升级!$D$141:$D$500)-1,AG522)</f>
        <v>109</v>
      </c>
      <c r="AH523" s="19">
        <v>8</v>
      </c>
      <c r="AI523" s="19">
        <f t="shared" si="260"/>
        <v>10.5142500606751</v>
      </c>
      <c r="AJ523" s="19">
        <f t="shared" si="272"/>
        <v>0</v>
      </c>
      <c r="AK523" s="269">
        <v>2.0368</v>
      </c>
      <c r="AL523" s="287">
        <f t="shared" si="241"/>
        <v>17.6399999999998</v>
      </c>
      <c r="AM523" s="287">
        <f t="shared" si="242"/>
        <v>14.0399999999999</v>
      </c>
      <c r="AN523" s="287">
        <f t="shared" si="243"/>
        <v>10.4399999999999</v>
      </c>
      <c r="AO523" s="287">
        <f t="shared" si="278"/>
        <v>6.84</v>
      </c>
      <c r="AP523" s="86"/>
      <c r="AQ523" s="19">
        <f t="shared" si="261"/>
        <v>3.29860139546038</v>
      </c>
      <c r="AR523" s="19">
        <f t="shared" si="262"/>
        <v>2.5855220071411</v>
      </c>
      <c r="AS523" s="19">
        <f t="shared" si="263"/>
        <v>2.02659347037532</v>
      </c>
      <c r="AT523" s="19">
        <f t="shared" si="264"/>
        <v>1.58849202707396</v>
      </c>
      <c r="AU523" s="19">
        <f t="shared" si="265"/>
        <v>1</v>
      </c>
      <c r="AV523" s="232">
        <f t="shared" si="245"/>
        <v>0.0399999999999991</v>
      </c>
      <c r="AW523" s="232">
        <f t="shared" si="246"/>
        <v>0.0399999999999991</v>
      </c>
      <c r="AX523" s="232">
        <f t="shared" si="247"/>
        <v>0.0399999999999991</v>
      </c>
      <c r="AY523" s="232">
        <f t="shared" si="248"/>
        <v>0.04</v>
      </c>
      <c r="AZ523" s="232">
        <f t="shared" si="249"/>
        <v>0</v>
      </c>
    </row>
    <row r="524" spans="1:52">
      <c r="A524" s="269"/>
      <c r="C524" s="19">
        <v>401</v>
      </c>
      <c r="D524" s="86">
        <f ca="1" t="shared" si="273"/>
        <v>249.644564668403</v>
      </c>
      <c r="E524" s="251">
        <f ca="1" t="shared" si="250"/>
        <v>0.307128112391392</v>
      </c>
      <c r="F524" s="269">
        <f ca="1" t="shared" si="266"/>
        <v>544.062148889576</v>
      </c>
      <c r="G524" s="283">
        <f ca="1" t="shared" si="267"/>
        <v>167.09678081206</v>
      </c>
      <c r="H524" s="279">
        <f ca="1" t="shared" si="268"/>
        <v>0.16942106691755</v>
      </c>
      <c r="I524" s="269">
        <f ca="1">SUM($J$125:J524)/SUM($H$125:H524)</f>
        <v>0.497767530692845</v>
      </c>
      <c r="J524" s="284">
        <f t="shared" si="274"/>
        <v>0.0603425165164282</v>
      </c>
      <c r="K524" s="19">
        <f t="shared" si="276"/>
        <v>41000</v>
      </c>
      <c r="L524" s="269">
        <f t="shared" si="269"/>
        <v>3.04999999999996</v>
      </c>
      <c r="M524" s="226">
        <f ca="1" t="shared" si="270"/>
        <v>287.232</v>
      </c>
      <c r="N524" s="280">
        <f ca="1" t="shared" si="275"/>
        <v>0.109078550401108</v>
      </c>
      <c r="O524" s="226">
        <f t="shared" si="280"/>
        <v>105.6</v>
      </c>
      <c r="P524" s="19">
        <f ca="1" t="shared" si="244"/>
        <v>18.2</v>
      </c>
      <c r="Q524" s="226">
        <f ca="1" t="shared" si="279"/>
        <v>2.72</v>
      </c>
      <c r="R524" s="269">
        <f ca="1" t="shared" si="251"/>
        <v>0.830850988975974</v>
      </c>
      <c r="S524" s="266">
        <f ca="1" t="shared" si="252"/>
        <v>78.0542003820673</v>
      </c>
      <c r="T524" s="226">
        <f ca="1">(1+OFFSET('玩法产出(新)'!$C$18,MATCH(X524,'玩法产出(新)'!$B$19:$B$25,0),1)*(1-V524)+OFFSET('玩法产出(新)'!$C$18,1+MATCH(X524,'玩法产出(新)'!$B$19:$B$25,0),1)*(V524))^AA524*(1+OFFSET('玩法产出(新)'!$C$18,MATCH(X524,'玩法产出(新)'!$B$19:$B$25,0),3)*(1-V524)+OFFSET('玩法产出(新)'!$C$18,1+MATCH(X524,'玩法产出(新)'!$B$19:$B$25,0),3)*(V524))^AB524*(1+OFFSET('玩法产出(新)'!$C$18,MATCH(X524,'玩法产出(新)'!$B$19:$B$25,0),4)*(1-V524)+OFFSET('玩法产出(新)'!$C$18,1+MATCH(X524,'玩法产出(新)'!$B$19:$B$25,0),4)*(V524))^AC524*(1+OFFSET('玩法产出(新)'!$C$18,MATCH(X524,'玩法产出(新)'!$B$19:$B$25,0),5)*(1+V524)+OFFSET('玩法产出(新)'!$C$18,1+MATCH(X524,'玩法产出(新)'!$B$19:$B$25,5),1)*(V524))^AD524*(1+OFFSET('玩法产出(新)'!$C$18,MATCH(X524,'玩法产出(新)'!$B$19:$B$25,0),6)*(1+V524)+OFFSET('玩法产出(新)'!$C$18,1+MATCH(X524,'玩法产出(新)'!$B$19:$B$25,0),6)*(V524))^AE524</f>
        <v>196.574541524223</v>
      </c>
      <c r="U524" s="226">
        <f ca="1" t="shared" si="271"/>
        <v>0.137707045473856</v>
      </c>
      <c r="V524" s="226">
        <f ca="1">COUNTIF($X$124:$X524,X524)/(COUNTIF($X$124:$X$723,X524)+1)</f>
        <v>0.587628865979381</v>
      </c>
      <c r="W524" s="19">
        <v>30</v>
      </c>
      <c r="X524" s="19" t="s">
        <v>326</v>
      </c>
      <c r="Y524" s="19">
        <f t="shared" si="277"/>
        <v>41260</v>
      </c>
      <c r="Z524" s="19">
        <f ca="1" t="shared" si="253"/>
        <v>0.156915831185567</v>
      </c>
      <c r="AA524" s="282">
        <f ca="1" t="shared" si="254"/>
        <v>0.855103124999999</v>
      </c>
      <c r="AB524" s="282">
        <f ca="1" t="shared" si="255"/>
        <v>18</v>
      </c>
      <c r="AC524" s="282">
        <f ca="1" t="shared" si="256"/>
        <v>8.49135</v>
      </c>
      <c r="AD524" s="282">
        <f ca="1" t="shared" si="257"/>
        <v>2.1228375</v>
      </c>
      <c r="AE524" s="282">
        <f ca="1" t="shared" si="258"/>
        <v>0.530709375</v>
      </c>
      <c r="AF524" s="19" t="str">
        <f t="shared" si="259"/>
        <v>彩3</v>
      </c>
      <c r="AG524" s="19">
        <f>IFERROR(_xlfn.XLOOKUP(C524+1,[2]基因升级!$E$141:$E$500,[2]基因升级!$D$141:$D$500)-1,AG523)</f>
        <v>109</v>
      </c>
      <c r="AH524" s="19">
        <v>8</v>
      </c>
      <c r="AI524" s="19">
        <f t="shared" si="260"/>
        <v>10.5142500606751</v>
      </c>
      <c r="AJ524" s="19">
        <f t="shared" si="272"/>
        <v>0</v>
      </c>
      <c r="AK524" s="269">
        <v>2.0368</v>
      </c>
      <c r="AL524" s="287">
        <f t="shared" si="241"/>
        <v>17.6799999999998</v>
      </c>
      <c r="AM524" s="287">
        <f t="shared" si="242"/>
        <v>14.0799999999999</v>
      </c>
      <c r="AN524" s="287">
        <f t="shared" si="243"/>
        <v>10.4799999999999</v>
      </c>
      <c r="AO524" s="287">
        <f t="shared" si="278"/>
        <v>6.88</v>
      </c>
      <c r="AP524" s="86"/>
      <c r="AQ524" s="19">
        <f t="shared" si="261"/>
        <v>3.30754064284298</v>
      </c>
      <c r="AR524" s="19">
        <f t="shared" si="262"/>
        <v>2.59252880125293</v>
      </c>
      <c r="AS524" s="19">
        <f t="shared" si="263"/>
        <v>2.03208556178127</v>
      </c>
      <c r="AT524" s="19">
        <f t="shared" si="264"/>
        <v>1.59279685857462</v>
      </c>
      <c r="AU524" s="19">
        <f t="shared" si="265"/>
        <v>1</v>
      </c>
      <c r="AV524" s="232">
        <f t="shared" si="245"/>
        <v>0.0399999999999991</v>
      </c>
      <c r="AW524" s="232">
        <f t="shared" si="246"/>
        <v>0.0399999999999991</v>
      </c>
      <c r="AX524" s="232">
        <f t="shared" si="247"/>
        <v>0.0399999999999991</v>
      </c>
      <c r="AY524" s="232">
        <f t="shared" si="248"/>
        <v>0.04</v>
      </c>
      <c r="AZ524" s="232">
        <f t="shared" si="249"/>
        <v>0</v>
      </c>
    </row>
    <row r="525" spans="1:52">
      <c r="A525" s="269"/>
      <c r="C525" s="19">
        <v>402</v>
      </c>
      <c r="D525" s="86">
        <f ca="1" t="shared" si="273"/>
        <v>249.950900401469</v>
      </c>
      <c r="E525" s="251">
        <f ca="1" t="shared" si="250"/>
        <v>0.306335733065903</v>
      </c>
      <c r="F525" s="269">
        <f ca="1" t="shared" si="266"/>
        <v>546.019471650157</v>
      </c>
      <c r="G525" s="283">
        <f ca="1" t="shared" si="267"/>
        <v>167.265275116208</v>
      </c>
      <c r="H525" s="279">
        <f ca="1" t="shared" si="268"/>
        <v>0.168494304148027</v>
      </c>
      <c r="I525" s="269">
        <f ca="1">SUM($J$125:J525)/SUM($H$125:H525)</f>
        <v>0.497617108913381</v>
      </c>
      <c r="J525" s="284">
        <f t="shared" si="274"/>
        <v>0.0602148711808326</v>
      </c>
      <c r="K525" s="19">
        <f t="shared" si="276"/>
        <v>41100</v>
      </c>
      <c r="L525" s="269">
        <f t="shared" si="269"/>
        <v>3.05499999999996</v>
      </c>
      <c r="M525" s="226">
        <f ca="1" t="shared" si="270"/>
        <v>289.344</v>
      </c>
      <c r="N525" s="280">
        <f ca="1" t="shared" si="275"/>
        <v>0.108279432967223</v>
      </c>
      <c r="O525" s="226">
        <f t="shared" si="280"/>
        <v>105.6</v>
      </c>
      <c r="P525" s="19">
        <f ca="1" t="shared" si="244"/>
        <v>18.4</v>
      </c>
      <c r="Q525" s="226">
        <f ca="1" t="shared" si="279"/>
        <v>2.74</v>
      </c>
      <c r="R525" s="269">
        <f ca="1" t="shared" si="251"/>
        <v>0.832318247457614</v>
      </c>
      <c r="S525" s="266">
        <f ca="1" t="shared" si="252"/>
        <v>78.1920418109851</v>
      </c>
      <c r="T525" s="226">
        <f ca="1">(1+OFFSET('玩法产出(新)'!$C$18,MATCH(X525,'玩法产出(新)'!$B$19:$B$25,0),1)*(1-V525)+OFFSET('玩法产出(新)'!$C$18,1+MATCH(X525,'玩法产出(新)'!$B$19:$B$25,0),1)*(V525))^AA525*(1+OFFSET('玩法产出(新)'!$C$18,MATCH(X525,'玩法产出(新)'!$B$19:$B$25,0),3)*(1-V525)+OFFSET('玩法产出(新)'!$C$18,1+MATCH(X525,'玩法产出(新)'!$B$19:$B$25,0),3)*(V525))^AB525*(1+OFFSET('玩法产出(新)'!$C$18,MATCH(X525,'玩法产出(新)'!$B$19:$B$25,0),4)*(1-V525)+OFFSET('玩法产出(新)'!$C$18,1+MATCH(X525,'玩法产出(新)'!$B$19:$B$25,0),4)*(V525))^AC525*(1+OFFSET('玩法产出(新)'!$C$18,MATCH(X525,'玩法产出(新)'!$B$19:$B$25,0),5)*(1+V525)+OFFSET('玩法产出(新)'!$C$18,1+MATCH(X525,'玩法产出(新)'!$B$19:$B$25,5),1)*(V525))^AD525*(1+OFFSET('玩法产出(新)'!$C$18,MATCH(X525,'玩法产出(新)'!$B$19:$B$25,0),6)*(1+V525)+OFFSET('玩法产出(新)'!$C$18,1+MATCH(X525,'玩法产出(新)'!$B$19:$B$25,0),6)*(V525))^AE525</f>
        <v>198.416403494993</v>
      </c>
      <c r="U525" s="226">
        <f ca="1" t="shared" si="271"/>
        <v>0.137841428917848</v>
      </c>
      <c r="V525" s="226">
        <f ca="1">COUNTIF($X$124:$X525,X525)/(COUNTIF($X$124:$X$723,X525)+1)</f>
        <v>0.589690721649485</v>
      </c>
      <c r="W525" s="19">
        <v>30</v>
      </c>
      <c r="X525" s="19" t="s">
        <v>326</v>
      </c>
      <c r="Y525" s="19">
        <f t="shared" si="277"/>
        <v>41360</v>
      </c>
      <c r="Z525" s="19">
        <f ca="1" t="shared" si="253"/>
        <v>0.151962364948453</v>
      </c>
      <c r="AA525" s="282">
        <f ca="1" t="shared" si="254"/>
        <v>0.827737499999998</v>
      </c>
      <c r="AB525" s="282">
        <f ca="1" t="shared" si="255"/>
        <v>18</v>
      </c>
      <c r="AC525" s="282">
        <f ca="1" t="shared" si="256"/>
        <v>8.5122</v>
      </c>
      <c r="AD525" s="282">
        <f ca="1" t="shared" si="257"/>
        <v>2.12805</v>
      </c>
      <c r="AE525" s="282">
        <f ca="1" t="shared" si="258"/>
        <v>0.5320125</v>
      </c>
      <c r="AF525" s="19" t="str">
        <f t="shared" si="259"/>
        <v>彩3</v>
      </c>
      <c r="AG525" s="19">
        <f>IFERROR(_xlfn.XLOOKUP(C525+1,[2]基因升级!$E$141:$E$500,[2]基因升级!$D$141:$D$500)-1,AG524)</f>
        <v>109</v>
      </c>
      <c r="AH525" s="19">
        <v>8</v>
      </c>
      <c r="AI525" s="19">
        <f t="shared" si="260"/>
        <v>10.5142500606751</v>
      </c>
      <c r="AJ525" s="19">
        <f t="shared" si="272"/>
        <v>0</v>
      </c>
      <c r="AK525" s="269">
        <v>2.0368</v>
      </c>
      <c r="AL525" s="287">
        <f t="shared" si="241"/>
        <v>17.7199999999998</v>
      </c>
      <c r="AM525" s="287">
        <f t="shared" si="242"/>
        <v>14.1199999999999</v>
      </c>
      <c r="AN525" s="287">
        <f t="shared" si="243"/>
        <v>10.5199999999999</v>
      </c>
      <c r="AO525" s="287">
        <f t="shared" si="278"/>
        <v>6.92</v>
      </c>
      <c r="AP525" s="86"/>
      <c r="AQ525" s="19">
        <f t="shared" si="261"/>
        <v>3.31650411568789</v>
      </c>
      <c r="AR525" s="19">
        <f t="shared" si="262"/>
        <v>2.59955458385668</v>
      </c>
      <c r="AS525" s="19">
        <f t="shared" si="263"/>
        <v>2.03759253681753</v>
      </c>
      <c r="AT525" s="19">
        <f t="shared" si="264"/>
        <v>1.59711335621772</v>
      </c>
      <c r="AU525" s="19">
        <f t="shared" si="265"/>
        <v>1</v>
      </c>
      <c r="AV525" s="232">
        <f t="shared" si="245"/>
        <v>0.0399999999999991</v>
      </c>
      <c r="AW525" s="232">
        <f t="shared" si="246"/>
        <v>0.0399999999999991</v>
      </c>
      <c r="AX525" s="232">
        <f t="shared" si="247"/>
        <v>0.0399999999999991</v>
      </c>
      <c r="AY525" s="232">
        <f t="shared" si="248"/>
        <v>0.04</v>
      </c>
      <c r="AZ525" s="232">
        <f t="shared" si="249"/>
        <v>0</v>
      </c>
    </row>
    <row r="526" spans="1:52">
      <c r="A526" s="269"/>
      <c r="C526" s="19">
        <v>403</v>
      </c>
      <c r="D526" s="86">
        <f ca="1" t="shared" si="273"/>
        <v>250.256455861467</v>
      </c>
      <c r="E526" s="251">
        <f ca="1" t="shared" si="250"/>
        <v>0.305555459998509</v>
      </c>
      <c r="F526" s="269">
        <f ca="1" t="shared" si="266"/>
        <v>547.962241746016</v>
      </c>
      <c r="G526" s="283">
        <f ca="1" t="shared" si="267"/>
        <v>167.432854838518</v>
      </c>
      <c r="H526" s="279">
        <f ca="1" t="shared" si="268"/>
        <v>0.167579722309881</v>
      </c>
      <c r="I526" s="269">
        <f ca="1">SUM($J$125:J526)/SUM($H$125:H526)</f>
        <v>0.497469091818368</v>
      </c>
      <c r="J526" s="284">
        <f t="shared" si="274"/>
        <v>0.0600877830953976</v>
      </c>
      <c r="K526" s="19">
        <f t="shared" si="276"/>
        <v>41200</v>
      </c>
      <c r="L526" s="269">
        <f t="shared" si="269"/>
        <v>3.05999999999996</v>
      </c>
      <c r="M526" s="226">
        <f ca="1" t="shared" si="270"/>
        <v>291.456</v>
      </c>
      <c r="N526" s="280">
        <f ca="1" t="shared" si="275"/>
        <v>0.107491939214455</v>
      </c>
      <c r="O526" s="226">
        <f t="shared" si="280"/>
        <v>105.6</v>
      </c>
      <c r="P526" s="19">
        <f ca="1" t="shared" si="244"/>
        <v>18.6</v>
      </c>
      <c r="Q526" s="226">
        <f ca="1" t="shared" si="279"/>
        <v>2.76</v>
      </c>
      <c r="R526" s="269">
        <f ca="1" t="shared" si="251"/>
        <v>0.833786935594219</v>
      </c>
      <c r="S526" s="266">
        <f ca="1" t="shared" si="252"/>
        <v>78.3300175486738</v>
      </c>
      <c r="T526" s="226">
        <f ca="1">(1+OFFSET('玩法产出(新)'!$C$18,MATCH(X526,'玩法产出(新)'!$B$19:$B$25,0),1)*(1-V526)+OFFSET('玩法产出(新)'!$C$18,1+MATCH(X526,'玩法产出(新)'!$B$19:$B$25,0),1)*(V526))^AA526*(1+OFFSET('玩法产出(新)'!$C$18,MATCH(X526,'玩法产出(新)'!$B$19:$B$25,0),3)*(1-V526)+OFFSET('玩法产出(新)'!$C$18,1+MATCH(X526,'玩法产出(新)'!$B$19:$B$25,0),3)*(V526))^AB526*(1+OFFSET('玩法产出(新)'!$C$18,MATCH(X526,'玩法产出(新)'!$B$19:$B$25,0),4)*(1-V526)+OFFSET('玩法产出(新)'!$C$18,1+MATCH(X526,'玩法产出(新)'!$B$19:$B$25,0),4)*(V526))^AC526*(1+OFFSET('玩法产出(新)'!$C$18,MATCH(X526,'玩法产出(新)'!$B$19:$B$25,0),5)*(1+V526)+OFFSET('玩法产出(新)'!$C$18,1+MATCH(X526,'玩法产出(新)'!$B$19:$B$25,5),1)*(V526))^AD526*(1+OFFSET('玩法产出(新)'!$C$18,MATCH(X526,'玩法产出(新)'!$B$19:$B$25,0),6)*(1+V526)+OFFSET('玩法产出(新)'!$C$18,1+MATCH(X526,'玩法产出(新)'!$B$19:$B$25,0),6)*(V526))^AE526</f>
        <v>200.277343265713</v>
      </c>
      <c r="U526" s="226">
        <f ca="1" t="shared" si="271"/>
        <v>0.137975737688656</v>
      </c>
      <c r="V526" s="226">
        <f ca="1">COUNTIF($X$124:$X526,X526)/(COUNTIF($X$124:$X$723,X526)+1)</f>
        <v>0.591752577319588</v>
      </c>
      <c r="W526" s="19">
        <v>30</v>
      </c>
      <c r="X526" s="19" t="s">
        <v>326</v>
      </c>
      <c r="Y526" s="19">
        <f t="shared" si="277"/>
        <v>41460</v>
      </c>
      <c r="Z526" s="19">
        <f ca="1" t="shared" si="253"/>
        <v>0.147004384793814</v>
      </c>
      <c r="AA526" s="282">
        <f ca="1" t="shared" si="254"/>
        <v>0.800371875</v>
      </c>
      <c r="AB526" s="282">
        <f ca="1" t="shared" si="255"/>
        <v>18</v>
      </c>
      <c r="AC526" s="282">
        <f ca="1" t="shared" si="256"/>
        <v>8.53305</v>
      </c>
      <c r="AD526" s="282">
        <f ca="1" t="shared" si="257"/>
        <v>2.1332625</v>
      </c>
      <c r="AE526" s="282">
        <f ca="1" t="shared" si="258"/>
        <v>0.533315625</v>
      </c>
      <c r="AF526" s="19" t="str">
        <f t="shared" si="259"/>
        <v>彩3</v>
      </c>
      <c r="AG526" s="19">
        <f>IFERROR(_xlfn.XLOOKUP(C526+1,[2]基因升级!$E$141:$E$500,[2]基因升级!$D$141:$D$500)-1,AG525)</f>
        <v>109</v>
      </c>
      <c r="AH526" s="19">
        <v>8</v>
      </c>
      <c r="AI526" s="19">
        <f t="shared" si="260"/>
        <v>10.5142500606751</v>
      </c>
      <c r="AJ526" s="19">
        <f t="shared" si="272"/>
        <v>0</v>
      </c>
      <c r="AK526" s="269">
        <v>2.0368</v>
      </c>
      <c r="AL526" s="287">
        <f t="shared" si="241"/>
        <v>17.7599999999998</v>
      </c>
      <c r="AM526" s="287">
        <f t="shared" si="242"/>
        <v>14.1599999999999</v>
      </c>
      <c r="AN526" s="287">
        <f t="shared" si="243"/>
        <v>10.5599999999999</v>
      </c>
      <c r="AO526" s="287">
        <f t="shared" si="278"/>
        <v>6.96</v>
      </c>
      <c r="AP526" s="86"/>
      <c r="AQ526" s="19">
        <f t="shared" si="261"/>
        <v>3.32549187964638</v>
      </c>
      <c r="AR526" s="19">
        <f t="shared" si="262"/>
        <v>2.60659940641137</v>
      </c>
      <c r="AS526" s="19">
        <f t="shared" si="263"/>
        <v>2.04311443581892</v>
      </c>
      <c r="AT526" s="19">
        <f t="shared" si="264"/>
        <v>1.60144155161864</v>
      </c>
      <c r="AU526" s="19">
        <f t="shared" si="265"/>
        <v>1</v>
      </c>
      <c r="AV526" s="232">
        <f t="shared" si="245"/>
        <v>0.0399999999999991</v>
      </c>
      <c r="AW526" s="232">
        <f t="shared" si="246"/>
        <v>0.0399999999999991</v>
      </c>
      <c r="AX526" s="232">
        <f t="shared" si="247"/>
        <v>0.0399999999999991</v>
      </c>
      <c r="AY526" s="232">
        <f t="shared" si="248"/>
        <v>0.04</v>
      </c>
      <c r="AZ526" s="232">
        <f t="shared" si="249"/>
        <v>0</v>
      </c>
    </row>
    <row r="527" spans="1:52">
      <c r="A527" s="269"/>
      <c r="C527" s="19">
        <v>404</v>
      </c>
      <c r="D527" s="86">
        <f ca="1" t="shared" si="273"/>
        <v>250.561242899222</v>
      </c>
      <c r="E527" s="251">
        <f ca="1" t="shared" si="250"/>
        <v>0.304787037754563</v>
      </c>
      <c r="F527" s="269">
        <f ca="1" t="shared" si="266"/>
        <v>549.890615884261</v>
      </c>
      <c r="G527" s="283">
        <f ca="1" t="shared" si="267"/>
        <v>167.599531904396</v>
      </c>
      <c r="H527" s="279">
        <f ca="1" t="shared" si="268"/>
        <v>0.166677065877906</v>
      </c>
      <c r="I527" s="269">
        <f ca="1">SUM($J$125:J527)/SUM($H$125:H527)</f>
        <v>0.497323435040102</v>
      </c>
      <c r="J527" s="284">
        <f t="shared" si="274"/>
        <v>0.0599612485159469</v>
      </c>
      <c r="K527" s="19">
        <f t="shared" si="276"/>
        <v>41300</v>
      </c>
      <c r="L527" s="269">
        <f t="shared" si="269"/>
        <v>3.06499999999996</v>
      </c>
      <c r="M527" s="226">
        <f ca="1" t="shared" si="270"/>
        <v>293.568</v>
      </c>
      <c r="N527" s="280">
        <f ca="1" t="shared" si="275"/>
        <v>0.10671581736193</v>
      </c>
      <c r="O527" s="226">
        <f t="shared" si="280"/>
        <v>105.6</v>
      </c>
      <c r="P527" s="19">
        <f ca="1" t="shared" si="244"/>
        <v>18.8</v>
      </c>
      <c r="Q527" s="226">
        <f ca="1" t="shared" si="279"/>
        <v>2.78</v>
      </c>
      <c r="R527" s="269">
        <f ca="1" t="shared" si="251"/>
        <v>0.835257052591888</v>
      </c>
      <c r="S527" s="266">
        <f ca="1" t="shared" si="252"/>
        <v>78.4681275205505</v>
      </c>
      <c r="T527" s="226">
        <f ca="1">(1+OFFSET('玩法产出(新)'!$C$18,MATCH(X527,'玩法产出(新)'!$B$19:$B$25,0),1)*(1-V527)+OFFSET('玩法产出(新)'!$C$18,1+MATCH(X527,'玩法产出(新)'!$B$19:$B$25,0),1)*(V527))^AA527*(1+OFFSET('玩法产出(新)'!$C$18,MATCH(X527,'玩法产出(新)'!$B$19:$B$25,0),3)*(1-V527)+OFFSET('玩法产出(新)'!$C$18,1+MATCH(X527,'玩法产出(新)'!$B$19:$B$25,0),3)*(V527))^AB527*(1+OFFSET('玩法产出(新)'!$C$18,MATCH(X527,'玩法产出(新)'!$B$19:$B$25,0),4)*(1-V527)+OFFSET('玩法产出(新)'!$C$18,1+MATCH(X527,'玩法产出(新)'!$B$19:$B$25,0),4)*(V527))^AC527*(1+OFFSET('玩法产出(新)'!$C$18,MATCH(X527,'玩法产出(新)'!$B$19:$B$25,0),5)*(1+V527)+OFFSET('玩法产出(新)'!$C$18,1+MATCH(X527,'玩法产出(新)'!$B$19:$B$25,5),1)*(V527))^AD527*(1+OFFSET('玩法产出(新)'!$C$18,MATCH(X527,'玩法产出(新)'!$B$19:$B$25,0),6)*(1+V527)+OFFSET('玩法产出(新)'!$C$18,1+MATCH(X527,'玩法产出(新)'!$B$19:$B$25,0),6)*(V527))^AE527</f>
        <v>202.157572726245</v>
      </c>
      <c r="U527" s="226">
        <f ca="1" t="shared" si="271"/>
        <v>0.138109971876685</v>
      </c>
      <c r="V527" s="226">
        <f ca="1">COUNTIF($X$124:$X527,X527)/(COUNTIF($X$124:$X$723,X527)+1)</f>
        <v>0.593814432989691</v>
      </c>
      <c r="W527" s="19">
        <v>30</v>
      </c>
      <c r="X527" s="19" t="s">
        <v>326</v>
      </c>
      <c r="Y527" s="19">
        <f t="shared" si="277"/>
        <v>41560</v>
      </c>
      <c r="Z527" s="19">
        <f ca="1" t="shared" si="253"/>
        <v>0.14204189072165</v>
      </c>
      <c r="AA527" s="282">
        <f ca="1" t="shared" si="254"/>
        <v>0.773006250000002</v>
      </c>
      <c r="AB527" s="282">
        <f ca="1" t="shared" si="255"/>
        <v>18</v>
      </c>
      <c r="AC527" s="282">
        <f ca="1" t="shared" si="256"/>
        <v>8.5539</v>
      </c>
      <c r="AD527" s="282">
        <f ca="1" t="shared" si="257"/>
        <v>2.138475</v>
      </c>
      <c r="AE527" s="282">
        <f ca="1" t="shared" si="258"/>
        <v>0.53461875</v>
      </c>
      <c r="AF527" s="19" t="str">
        <f t="shared" si="259"/>
        <v>彩3</v>
      </c>
      <c r="AG527" s="19">
        <f>IFERROR(_xlfn.XLOOKUP(C527+1,[2]基因升级!$E$141:$E$500,[2]基因升级!$D$141:$D$500)-1,AG526)</f>
        <v>109</v>
      </c>
      <c r="AH527" s="19">
        <v>8</v>
      </c>
      <c r="AI527" s="19">
        <f t="shared" si="260"/>
        <v>10.5142500606751</v>
      </c>
      <c r="AJ527" s="19">
        <f t="shared" si="272"/>
        <v>0</v>
      </c>
      <c r="AK527" s="269">
        <v>2.0368</v>
      </c>
      <c r="AL527" s="287">
        <f t="shared" si="241"/>
        <v>17.7999999999998</v>
      </c>
      <c r="AM527" s="287">
        <f t="shared" si="242"/>
        <v>14.1999999999999</v>
      </c>
      <c r="AN527" s="287">
        <f t="shared" si="243"/>
        <v>10.5999999999999</v>
      </c>
      <c r="AO527" s="287">
        <f t="shared" si="278"/>
        <v>7</v>
      </c>
      <c r="AP527" s="86"/>
      <c r="AQ527" s="19">
        <f t="shared" si="261"/>
        <v>3.33450400054766</v>
      </c>
      <c r="AR527" s="19">
        <f t="shared" si="262"/>
        <v>2.61366332051549</v>
      </c>
      <c r="AS527" s="19">
        <f t="shared" si="263"/>
        <v>2.04865129922954</v>
      </c>
      <c r="AT527" s="19">
        <f t="shared" si="264"/>
        <v>1.60578147647843</v>
      </c>
      <c r="AU527" s="19">
        <f t="shared" si="265"/>
        <v>1</v>
      </c>
      <c r="AV527" s="232">
        <f t="shared" si="245"/>
        <v>0.0399999999999991</v>
      </c>
      <c r="AW527" s="232">
        <f t="shared" si="246"/>
        <v>0.0399999999999991</v>
      </c>
      <c r="AX527" s="232">
        <f t="shared" si="247"/>
        <v>0.0399999999999991</v>
      </c>
      <c r="AY527" s="232">
        <f t="shared" si="248"/>
        <v>0.04</v>
      </c>
      <c r="AZ527" s="232">
        <f t="shared" si="249"/>
        <v>0</v>
      </c>
    </row>
    <row r="528" spans="1:52">
      <c r="A528" s="269"/>
      <c r="C528" s="19">
        <v>405</v>
      </c>
      <c r="D528" s="86">
        <f ca="1" t="shared" si="273"/>
        <v>250.865273117375</v>
      </c>
      <c r="E528" s="251">
        <f ca="1" t="shared" si="250"/>
        <v>0.304030218153129</v>
      </c>
      <c r="F528" s="269">
        <f ca="1" t="shared" si="266"/>
        <v>551.804748258542</v>
      </c>
      <c r="G528" s="283">
        <f ca="1" t="shared" si="267"/>
        <v>167.765317990977</v>
      </c>
      <c r="H528" s="279">
        <f ca="1" t="shared" si="268"/>
        <v>0.165786086580852</v>
      </c>
      <c r="I528" s="269">
        <f ca="1">SUM($J$125:J528)/SUM($H$125:H528)</f>
        <v>0.497180095283204</v>
      </c>
      <c r="J528" s="284">
        <f t="shared" si="274"/>
        <v>0.0598352637324666</v>
      </c>
      <c r="K528" s="19">
        <f t="shared" si="276"/>
        <v>41400</v>
      </c>
      <c r="L528" s="269">
        <f t="shared" si="269"/>
        <v>3.06999999999996</v>
      </c>
      <c r="M528" s="226">
        <f ca="1" t="shared" si="270"/>
        <v>295.68</v>
      </c>
      <c r="N528" s="280">
        <f ca="1" t="shared" si="275"/>
        <v>0.105950822848428</v>
      </c>
      <c r="O528" s="226">
        <f t="shared" si="280"/>
        <v>105.6</v>
      </c>
      <c r="P528" s="19">
        <f ca="1" t="shared" si="244"/>
        <v>19</v>
      </c>
      <c r="Q528" s="226">
        <f ca="1" t="shared" si="279"/>
        <v>2.8</v>
      </c>
      <c r="R528" s="269">
        <f ca="1" t="shared" si="251"/>
        <v>0.836728597657685</v>
      </c>
      <c r="S528" s="266">
        <f ca="1" t="shared" si="252"/>
        <v>78.6063716521227</v>
      </c>
      <c r="T528" s="226">
        <f ca="1">(1+OFFSET('玩法产出(新)'!$C$18,MATCH(X528,'玩法产出(新)'!$B$19:$B$25,0),1)*(1-V528)+OFFSET('玩法产出(新)'!$C$18,1+MATCH(X528,'玩法产出(新)'!$B$19:$B$25,0),1)*(V528))^AA528*(1+OFFSET('玩法产出(新)'!$C$18,MATCH(X528,'玩法产出(新)'!$B$19:$B$25,0),3)*(1-V528)+OFFSET('玩法产出(新)'!$C$18,1+MATCH(X528,'玩法产出(新)'!$B$19:$B$25,0),3)*(V528))^AB528*(1+OFFSET('玩法产出(新)'!$C$18,MATCH(X528,'玩法产出(新)'!$B$19:$B$25,0),4)*(1-V528)+OFFSET('玩法产出(新)'!$C$18,1+MATCH(X528,'玩法产出(新)'!$B$19:$B$25,0),4)*(V528))^AC528*(1+OFFSET('玩法产出(新)'!$C$18,MATCH(X528,'玩法产出(新)'!$B$19:$B$25,0),5)*(1+V528)+OFFSET('玩法产出(新)'!$C$18,1+MATCH(X528,'玩法产出(新)'!$B$19:$B$25,5),1)*(V528))^AD528*(1+OFFSET('玩法产出(新)'!$C$18,MATCH(X528,'玩法产出(新)'!$B$19:$B$25,0),6)*(1+V528)+OFFSET('玩法产出(新)'!$C$18,1+MATCH(X528,'玩法产出(新)'!$B$19:$B$25,0),6)*(V528))^AE528</f>
        <v>204.057306255565</v>
      </c>
      <c r="U528" s="226">
        <f ca="1" t="shared" si="271"/>
        <v>0.138244131572235</v>
      </c>
      <c r="V528" s="226">
        <f ca="1">COUNTIF($X$124:$X528,X528)/(COUNTIF($X$124:$X$723,X528)+1)</f>
        <v>0.595876288659794</v>
      </c>
      <c r="W528" s="19">
        <v>30</v>
      </c>
      <c r="X528" s="19" t="s">
        <v>326</v>
      </c>
      <c r="Y528" s="19">
        <f t="shared" si="277"/>
        <v>41660</v>
      </c>
      <c r="Z528" s="19">
        <f ca="1" t="shared" si="253"/>
        <v>0.137074882731959</v>
      </c>
      <c r="AA528" s="282">
        <f ca="1" t="shared" si="254"/>
        <v>0.745640625</v>
      </c>
      <c r="AB528" s="282">
        <f ca="1" t="shared" si="255"/>
        <v>18</v>
      </c>
      <c r="AC528" s="282">
        <f ca="1" t="shared" si="256"/>
        <v>8.57475</v>
      </c>
      <c r="AD528" s="282">
        <f ca="1" t="shared" si="257"/>
        <v>2.1436875</v>
      </c>
      <c r="AE528" s="282">
        <f ca="1" t="shared" si="258"/>
        <v>0.535921875</v>
      </c>
      <c r="AF528" s="19" t="str">
        <f t="shared" si="259"/>
        <v>彩3</v>
      </c>
      <c r="AG528" s="19">
        <f>IFERROR(_xlfn.XLOOKUP(C528+1,[2]基因升级!$E$141:$E$500,[2]基因升级!$D$141:$D$500)-1,AG527)</f>
        <v>109</v>
      </c>
      <c r="AH528" s="19">
        <v>8</v>
      </c>
      <c r="AI528" s="19">
        <f t="shared" si="260"/>
        <v>10.5142500606751</v>
      </c>
      <c r="AJ528" s="19">
        <f t="shared" si="272"/>
        <v>0</v>
      </c>
      <c r="AK528" s="269">
        <v>2.0368</v>
      </c>
      <c r="AL528" s="287">
        <f t="shared" ref="AL528:AL591" si="281">AL527+0.04</f>
        <v>17.8399999999998</v>
      </c>
      <c r="AM528" s="287">
        <f t="shared" si="242"/>
        <v>14.2399999999999</v>
      </c>
      <c r="AN528" s="287">
        <f t="shared" si="243"/>
        <v>10.6399999999999</v>
      </c>
      <c r="AO528" s="287">
        <f t="shared" si="278"/>
        <v>7.04</v>
      </c>
      <c r="AP528" s="86"/>
      <c r="AQ528" s="19">
        <f t="shared" si="261"/>
        <v>3.3435405443993</v>
      </c>
      <c r="AR528" s="19">
        <f t="shared" si="262"/>
        <v>2.62074637790735</v>
      </c>
      <c r="AS528" s="19">
        <f t="shared" si="263"/>
        <v>2.05420316760312</v>
      </c>
      <c r="AT528" s="19">
        <f t="shared" si="264"/>
        <v>1.61013316258406</v>
      </c>
      <c r="AU528" s="19">
        <f t="shared" si="265"/>
        <v>1</v>
      </c>
      <c r="AV528" s="232">
        <f t="shared" si="245"/>
        <v>0.0399999999999991</v>
      </c>
      <c r="AW528" s="232">
        <f t="shared" si="246"/>
        <v>0.0399999999999991</v>
      </c>
      <c r="AX528" s="232">
        <f t="shared" si="247"/>
        <v>0.0399999999999991</v>
      </c>
      <c r="AY528" s="232">
        <f t="shared" si="248"/>
        <v>0.04</v>
      </c>
      <c r="AZ528" s="232">
        <f t="shared" si="249"/>
        <v>0</v>
      </c>
    </row>
    <row r="529" spans="1:53">
      <c r="A529" s="269"/>
      <c r="C529" s="19">
        <v>406</v>
      </c>
      <c r="D529" s="86">
        <f ca="1" t="shared" si="273"/>
        <v>251.168557877385</v>
      </c>
      <c r="E529" s="251">
        <f ca="1" t="shared" si="250"/>
        <v>0.303284760009731</v>
      </c>
      <c r="F529" s="269">
        <f ca="1" t="shared" si="266"/>
        <v>553.704790602511</v>
      </c>
      <c r="G529" s="283">
        <f ca="1" t="shared" si="267"/>
        <v>167.930224534121</v>
      </c>
      <c r="H529" s="279">
        <f ca="1" t="shared" si="268"/>
        <v>0.164906543144184</v>
      </c>
      <c r="I529" s="269">
        <f ca="1">SUM($J$125:J529)/SUM($H$125:H529)</f>
        <v>0.497039030291812</v>
      </c>
      <c r="J529" s="284">
        <f t="shared" si="274"/>
        <v>0.0597098250687509</v>
      </c>
      <c r="K529" s="19">
        <f t="shared" si="276"/>
        <v>41500</v>
      </c>
      <c r="L529" s="269">
        <f t="shared" si="269"/>
        <v>3.07499999999996</v>
      </c>
      <c r="M529" s="226">
        <f ca="1" t="shared" si="270"/>
        <v>297.792</v>
      </c>
      <c r="N529" s="280">
        <f ca="1" t="shared" si="275"/>
        <v>0.105196718075419</v>
      </c>
      <c r="O529" s="226">
        <f t="shared" si="280"/>
        <v>105.6</v>
      </c>
      <c r="P529" s="19">
        <f ca="1" t="shared" si="244"/>
        <v>19.2</v>
      </c>
      <c r="Q529" s="226">
        <f ca="1" t="shared" si="279"/>
        <v>2.82</v>
      </c>
      <c r="R529" s="269">
        <f ca="1" t="shared" si="251"/>
        <v>0.838201569999631</v>
      </c>
      <c r="S529" s="266">
        <f ca="1" t="shared" si="252"/>
        <v>78.7447498689883</v>
      </c>
      <c r="T529" s="226">
        <f ca="1">(1+OFFSET('玩法产出(新)'!$C$18,MATCH(X529,'玩法产出(新)'!$B$19:$B$25,0),1)*(1-V529)+OFFSET('玩法产出(新)'!$C$18,1+MATCH(X529,'玩法产出(新)'!$B$19:$B$25,0),1)*(V529))^AA529*(1+OFFSET('玩法产出(新)'!$C$18,MATCH(X529,'玩法产出(新)'!$B$19:$B$25,0),3)*(1-V529)+OFFSET('玩法产出(新)'!$C$18,1+MATCH(X529,'玩法产出(新)'!$B$19:$B$25,0),3)*(V529))^AB529*(1+OFFSET('玩法产出(新)'!$C$18,MATCH(X529,'玩法产出(新)'!$B$19:$B$25,0),4)*(1-V529)+OFFSET('玩法产出(新)'!$C$18,1+MATCH(X529,'玩法产出(新)'!$B$19:$B$25,0),4)*(V529))^AC529*(1+OFFSET('玩法产出(新)'!$C$18,MATCH(X529,'玩法产出(新)'!$B$19:$B$25,0),5)*(1+V529)+OFFSET('玩法产出(新)'!$C$18,1+MATCH(X529,'玩法产出(新)'!$B$19:$B$25,5),1)*(V529))^AD529*(1+OFFSET('玩法产出(新)'!$C$18,MATCH(X529,'玩法产出(新)'!$B$19:$B$25,0),6)*(1+V529)+OFFSET('玩法产出(新)'!$C$18,1+MATCH(X529,'玩法产出(新)'!$B$19:$B$25,0),6)*(V529))^AE529</f>
        <v>205.976760752414</v>
      </c>
      <c r="U529" s="226">
        <f ca="1" t="shared" si="271"/>
        <v>0.138378216865562</v>
      </c>
      <c r="V529" s="226">
        <f ca="1">COUNTIF($X$124:$X529,X529)/(COUNTIF($X$124:$X$723,X529)+1)</f>
        <v>0.597938144329897</v>
      </c>
      <c r="W529" s="19">
        <v>30</v>
      </c>
      <c r="X529" s="19" t="s">
        <v>326</v>
      </c>
      <c r="Y529" s="19">
        <f t="shared" si="277"/>
        <v>41760</v>
      </c>
      <c r="Z529" s="19">
        <f ca="1" t="shared" si="253"/>
        <v>0.132103360824743</v>
      </c>
      <c r="AA529" s="282">
        <f ca="1" t="shared" si="254"/>
        <v>0.718275000000002</v>
      </c>
      <c r="AB529" s="282">
        <f ca="1" t="shared" si="255"/>
        <v>18</v>
      </c>
      <c r="AC529" s="282">
        <f ca="1" t="shared" si="256"/>
        <v>8.5956</v>
      </c>
      <c r="AD529" s="282">
        <f ca="1" t="shared" si="257"/>
        <v>2.1489</v>
      </c>
      <c r="AE529" s="282">
        <f ca="1" t="shared" si="258"/>
        <v>0.537225</v>
      </c>
      <c r="AF529" s="19" t="str">
        <f t="shared" si="259"/>
        <v>彩3</v>
      </c>
      <c r="AG529" s="19">
        <f>IFERROR(_xlfn.XLOOKUP(C529+1,[2]基因升级!$E$141:$E$500,[2]基因升级!$D$141:$D$500)-1,AG528)</f>
        <v>109</v>
      </c>
      <c r="AH529" s="19">
        <v>8</v>
      </c>
      <c r="AI529" s="19">
        <f t="shared" si="260"/>
        <v>10.5142500606751</v>
      </c>
      <c r="AJ529" s="19">
        <f t="shared" si="272"/>
        <v>0</v>
      </c>
      <c r="AK529" s="269">
        <v>2.0368</v>
      </c>
      <c r="AL529" s="287">
        <f t="shared" si="281"/>
        <v>17.8799999999998</v>
      </c>
      <c r="AM529" s="287">
        <f t="shared" ref="AM529:AM592" si="282">AL439</f>
        <v>14.2799999999999</v>
      </c>
      <c r="AN529" s="287">
        <f t="shared" si="243"/>
        <v>10.6799999999999</v>
      </c>
      <c r="AO529" s="287">
        <f t="shared" si="278"/>
        <v>7.08</v>
      </c>
      <c r="AP529" s="86"/>
      <c r="AQ529" s="19">
        <f t="shared" si="261"/>
        <v>3.35260157738779</v>
      </c>
      <c r="AR529" s="19">
        <f t="shared" si="262"/>
        <v>2.62784863046549</v>
      </c>
      <c r="AS529" s="19">
        <f t="shared" si="263"/>
        <v>2.05977008160328</v>
      </c>
      <c r="AT529" s="19">
        <f t="shared" si="264"/>
        <v>1.61449664180865</v>
      </c>
      <c r="AU529" s="19">
        <f t="shared" si="265"/>
        <v>1</v>
      </c>
      <c r="AV529" s="232">
        <f t="shared" si="245"/>
        <v>0.0399999999999991</v>
      </c>
      <c r="AW529" s="232">
        <f t="shared" si="246"/>
        <v>0.0399999999999991</v>
      </c>
      <c r="AX529" s="232">
        <f t="shared" si="247"/>
        <v>0.0399999999999991</v>
      </c>
      <c r="AY529" s="232">
        <f t="shared" si="248"/>
        <v>0.04</v>
      </c>
      <c r="AZ529" s="232">
        <f t="shared" si="249"/>
        <v>0</v>
      </c>
    </row>
    <row r="530" spans="1:53">
      <c r="A530" s="269"/>
      <c r="C530" s="19">
        <v>407</v>
      </c>
      <c r="D530" s="86">
        <f ca="1" t="shared" si="273"/>
        <v>251.471108306274</v>
      </c>
      <c r="E530" s="251">
        <f ca="1" t="shared" si="250"/>
        <v>0.302550428889676</v>
      </c>
      <c r="F530" s="269">
        <f ca="1" t="shared" si="266"/>
        <v>555.590892242493</v>
      </c>
      <c r="G530" s="283">
        <f ca="1" t="shared" si="267"/>
        <v>168.094262735164</v>
      </c>
      <c r="H530" s="279">
        <f ca="1" t="shared" si="268"/>
        <v>0.164038201043212</v>
      </c>
      <c r="I530" s="269">
        <f ca="1">SUM($J$125:J530)/SUM($H$125:H530)</f>
        <v>0.496900198818009</v>
      </c>
      <c r="J530" s="284">
        <f t="shared" si="274"/>
        <v>0.0595849288820318</v>
      </c>
      <c r="K530" s="19">
        <f t="shared" si="276"/>
        <v>41600</v>
      </c>
      <c r="L530" s="269">
        <f t="shared" si="269"/>
        <v>3.07999999999996</v>
      </c>
      <c r="M530" s="226">
        <f ca="1" t="shared" si="270"/>
        <v>299.904</v>
      </c>
      <c r="N530" s="280">
        <f ca="1" t="shared" si="275"/>
        <v>0.104453272161166</v>
      </c>
      <c r="O530" s="226">
        <f t="shared" si="280"/>
        <v>105.6</v>
      </c>
      <c r="P530" s="19">
        <f ca="1" t="shared" si="244"/>
        <v>19.4</v>
      </c>
      <c r="Q530" s="226">
        <f ca="1" t="shared" si="279"/>
        <v>2.84</v>
      </c>
      <c r="R530" s="269">
        <f ca="1" t="shared" si="251"/>
        <v>0.839675968826705</v>
      </c>
      <c r="S530" s="266">
        <f ca="1" t="shared" si="252"/>
        <v>78.8832620968348</v>
      </c>
      <c r="T530" s="226">
        <f ca="1">(1+OFFSET('玩法产出(新)'!$C$18,MATCH(X530,'玩法产出(新)'!$B$19:$B$25,0),1)*(1-V530)+OFFSET('玩法产出(新)'!$C$18,1+MATCH(X530,'玩法产出(新)'!$B$19:$B$25,0),1)*(V530))^AA530*(1+OFFSET('玩法产出(新)'!$C$18,MATCH(X530,'玩法产出(新)'!$B$19:$B$25,0),3)*(1-V530)+OFFSET('玩法产出(新)'!$C$18,1+MATCH(X530,'玩法产出(新)'!$B$19:$B$25,0),3)*(V530))^AB530*(1+OFFSET('玩法产出(新)'!$C$18,MATCH(X530,'玩法产出(新)'!$B$19:$B$25,0),4)*(1-V530)+OFFSET('玩法产出(新)'!$C$18,1+MATCH(X530,'玩法产出(新)'!$B$19:$B$25,0),4)*(V530))^AC530*(1+OFFSET('玩法产出(新)'!$C$18,MATCH(X530,'玩法产出(新)'!$B$19:$B$25,0),5)*(1+V530)+OFFSET('玩法产出(新)'!$C$18,1+MATCH(X530,'玩法产出(新)'!$B$19:$B$25,5),1)*(V530))^AD530*(1+OFFSET('玩法产出(新)'!$C$18,MATCH(X530,'玩法产出(新)'!$B$19:$B$25,0),6)*(1+V530)+OFFSET('玩法产出(新)'!$C$18,1+MATCH(X530,'玩法产出(新)'!$B$19:$B$25,0),6)*(V530))^AE530</f>
        <v>207.91615566633</v>
      </c>
      <c r="U530" s="226">
        <f ca="1" t="shared" si="271"/>
        <v>0.138512227846479</v>
      </c>
      <c r="V530" s="226">
        <f ca="1">COUNTIF($X$124:$X530,X530)/(COUNTIF($X$124:$X$723,X530)+1)</f>
        <v>0.6</v>
      </c>
      <c r="W530" s="19">
        <v>30</v>
      </c>
      <c r="X530" s="19" t="s">
        <v>326</v>
      </c>
      <c r="Y530" s="19">
        <f t="shared" si="277"/>
        <v>41860</v>
      </c>
      <c r="Z530" s="19">
        <f ca="1" t="shared" si="253"/>
        <v>0.127127325</v>
      </c>
      <c r="AA530" s="282">
        <f ca="1" t="shared" si="254"/>
        <v>0.690909375</v>
      </c>
      <c r="AB530" s="282">
        <f ca="1" t="shared" si="255"/>
        <v>18</v>
      </c>
      <c r="AC530" s="282">
        <f ca="1" t="shared" si="256"/>
        <v>8.61645</v>
      </c>
      <c r="AD530" s="282">
        <f ca="1" t="shared" si="257"/>
        <v>2.1541125</v>
      </c>
      <c r="AE530" s="282">
        <f ca="1" t="shared" si="258"/>
        <v>0.538528125</v>
      </c>
      <c r="AF530" s="19" t="str">
        <f t="shared" si="259"/>
        <v>彩3</v>
      </c>
      <c r="AG530" s="19">
        <f>IFERROR(_xlfn.XLOOKUP(C530+1,[2]基因升级!$E$141:$E$500,[2]基因升级!$D$141:$D$500)-1,AG529)</f>
        <v>109</v>
      </c>
      <c r="AH530" s="19">
        <v>8</v>
      </c>
      <c r="AI530" s="19">
        <f t="shared" si="260"/>
        <v>10.5142500606751</v>
      </c>
      <c r="AJ530" s="19">
        <f t="shared" si="272"/>
        <v>0</v>
      </c>
      <c r="AK530" s="269">
        <v>2.0368</v>
      </c>
      <c r="AL530" s="287">
        <f t="shared" si="281"/>
        <v>17.9199999999998</v>
      </c>
      <c r="AM530" s="287">
        <f t="shared" si="282"/>
        <v>14.3199999999999</v>
      </c>
      <c r="AN530" s="287">
        <f t="shared" si="243"/>
        <v>10.7199999999999</v>
      </c>
      <c r="AO530" s="287">
        <f t="shared" si="278"/>
        <v>7.12</v>
      </c>
      <c r="AP530" s="86"/>
      <c r="AQ530" s="19">
        <f t="shared" si="261"/>
        <v>3.36168716587897</v>
      </c>
      <c r="AR530" s="19">
        <f t="shared" si="262"/>
        <v>2.63497013020901</v>
      </c>
      <c r="AS530" s="19">
        <f t="shared" si="263"/>
        <v>2.06535208200384</v>
      </c>
      <c r="AT530" s="19">
        <f t="shared" si="264"/>
        <v>1.61887194611167</v>
      </c>
      <c r="AU530" s="19">
        <f t="shared" si="265"/>
        <v>1</v>
      </c>
      <c r="AV530" s="232">
        <f t="shared" si="245"/>
        <v>0.0399999999999991</v>
      </c>
      <c r="AW530" s="232">
        <f t="shared" si="246"/>
        <v>0.0399999999999991</v>
      </c>
      <c r="AX530" s="232">
        <f t="shared" si="247"/>
        <v>0.0399999999999991</v>
      </c>
      <c r="AY530" s="232">
        <f t="shared" si="248"/>
        <v>0.04</v>
      </c>
      <c r="AZ530" s="232">
        <f t="shared" si="249"/>
        <v>0</v>
      </c>
    </row>
    <row r="531" spans="1:53">
      <c r="A531" s="269"/>
      <c r="C531" s="19">
        <v>408</v>
      </c>
      <c r="D531" s="86">
        <f ca="1" t="shared" si="273"/>
        <v>251.772935303147</v>
      </c>
      <c r="E531" s="251">
        <f ca="1" t="shared" si="250"/>
        <v>0.301826996872531</v>
      </c>
      <c r="F531" s="269">
        <f ca="1" t="shared" si="266"/>
        <v>557.463200147371</v>
      </c>
      <c r="G531" s="283">
        <f ca="1" t="shared" si="267"/>
        <v>168.257443567432</v>
      </c>
      <c r="H531" s="279">
        <f ca="1" t="shared" si="268"/>
        <v>0.1631808322675</v>
      </c>
      <c r="I531" s="269">
        <f ca="1">SUM($J$125:J531)/SUM($H$125:H531)</f>
        <v>0.496763560591415</v>
      </c>
      <c r="J531" s="284">
        <f t="shared" si="274"/>
        <v>0.059460571562596</v>
      </c>
      <c r="K531" s="19">
        <f t="shared" si="276"/>
        <v>41700</v>
      </c>
      <c r="L531" s="269">
        <f t="shared" si="269"/>
        <v>3.08499999999996</v>
      </c>
      <c r="M531" s="226">
        <f ca="1" t="shared" si="270"/>
        <v>302.016</v>
      </c>
      <c r="N531" s="280">
        <f ca="1" t="shared" si="275"/>
        <v>0.103720260704932</v>
      </c>
      <c r="O531" s="226">
        <f t="shared" si="280"/>
        <v>105.6</v>
      </c>
      <c r="P531" s="19">
        <f ca="1" t="shared" si="244"/>
        <v>19.6</v>
      </c>
      <c r="Q531" s="226">
        <f ca="1" t="shared" si="279"/>
        <v>2.86</v>
      </c>
      <c r="R531" s="269">
        <f ca="1" t="shared" si="251"/>
        <v>0.841151793348843</v>
      </c>
      <c r="S531" s="266">
        <f ca="1" t="shared" si="252"/>
        <v>79.0219082614397</v>
      </c>
      <c r="T531" s="226">
        <f ca="1">(1+OFFSET('玩法产出(新)'!$C$18,MATCH(X531,'玩法产出(新)'!$B$19:$B$25,0),1)*(1-V531)+OFFSET('玩法产出(新)'!$C$18,1+MATCH(X531,'玩法产出(新)'!$B$19:$B$25,0),1)*(V531))^AA531*(1+OFFSET('玩法产出(新)'!$C$18,MATCH(X531,'玩法产出(新)'!$B$19:$B$25,0),3)*(1-V531)+OFFSET('玩法产出(新)'!$C$18,1+MATCH(X531,'玩法产出(新)'!$B$19:$B$25,0),3)*(V531))^AB531*(1+OFFSET('玩法产出(新)'!$C$18,MATCH(X531,'玩法产出(新)'!$B$19:$B$25,0),4)*(1-V531)+OFFSET('玩法产出(新)'!$C$18,1+MATCH(X531,'玩法产出(新)'!$B$19:$B$25,0),4)*(V531))^AC531*(1+OFFSET('玩法产出(新)'!$C$18,MATCH(X531,'玩法产出(新)'!$B$19:$B$25,0),5)*(1+V531)+OFFSET('玩法产出(新)'!$C$18,1+MATCH(X531,'玩法产出(新)'!$B$19:$B$25,5),1)*(V531))^AD531*(1+OFFSET('玩法产出(新)'!$C$18,MATCH(X531,'玩法产出(新)'!$B$19:$B$25,0),6)*(1+V531)+OFFSET('玩法产出(新)'!$C$18,1+MATCH(X531,'玩法产出(新)'!$B$19:$B$25,0),6)*(V531))^AE531</f>
        <v>209.875713029087</v>
      </c>
      <c r="U531" s="226">
        <f ca="1" t="shared" si="271"/>
        <v>0.138646164605003</v>
      </c>
      <c r="V531" s="226">
        <f ca="1">COUNTIF($X$124:$X531,X531)/(COUNTIF($X$124:$X$723,X531)+1)</f>
        <v>0.602061855670103</v>
      </c>
      <c r="W531" s="19">
        <v>30</v>
      </c>
      <c r="X531" s="19" t="s">
        <v>326</v>
      </c>
      <c r="Y531" s="19">
        <f t="shared" si="277"/>
        <v>41960</v>
      </c>
      <c r="Z531" s="19">
        <f ca="1" t="shared" si="253"/>
        <v>0.122146775257732</v>
      </c>
      <c r="AA531" s="282">
        <f ca="1" t="shared" si="254"/>
        <v>0.663543750000002</v>
      </c>
      <c r="AB531" s="282">
        <f ca="1" t="shared" si="255"/>
        <v>18</v>
      </c>
      <c r="AC531" s="282">
        <f ca="1" t="shared" si="256"/>
        <v>8.6373</v>
      </c>
      <c r="AD531" s="282">
        <f ca="1" t="shared" si="257"/>
        <v>2.159325</v>
      </c>
      <c r="AE531" s="282">
        <f ca="1" t="shared" si="258"/>
        <v>0.53983125</v>
      </c>
      <c r="AF531" s="19" t="str">
        <f t="shared" si="259"/>
        <v>彩3</v>
      </c>
      <c r="AG531" s="19">
        <f>IFERROR(_xlfn.XLOOKUP(C531+1,[2]基因升级!$E$141:$E$500,[2]基因升级!$D$141:$D$500)-1,AG530)</f>
        <v>109</v>
      </c>
      <c r="AH531" s="19">
        <v>8</v>
      </c>
      <c r="AI531" s="19">
        <f t="shared" si="260"/>
        <v>10.5142500606751</v>
      </c>
      <c r="AJ531" s="19">
        <f t="shared" si="272"/>
        <v>0</v>
      </c>
      <c r="AK531" s="269">
        <v>2.0368</v>
      </c>
      <c r="AL531" s="287">
        <f t="shared" si="281"/>
        <v>17.9599999999998</v>
      </c>
      <c r="AM531" s="287">
        <f t="shared" si="282"/>
        <v>14.3599999999999</v>
      </c>
      <c r="AN531" s="287">
        <f t="shared" si="243"/>
        <v>10.7599999999999</v>
      </c>
      <c r="AO531" s="287">
        <f t="shared" si="278"/>
        <v>7.16</v>
      </c>
      <c r="AP531" s="86"/>
      <c r="AQ531" s="19">
        <f t="shared" si="261"/>
        <v>3.37079737641852</v>
      </c>
      <c r="AR531" s="19">
        <f t="shared" si="262"/>
        <v>2.64211092929802</v>
      </c>
      <c r="AS531" s="19">
        <f t="shared" si="263"/>
        <v>2.07094920968911</v>
      </c>
      <c r="AT531" s="19">
        <f t="shared" si="264"/>
        <v>1.62325910753922</v>
      </c>
      <c r="AU531" s="19">
        <f t="shared" si="265"/>
        <v>1</v>
      </c>
      <c r="AV531" s="232">
        <f t="shared" si="245"/>
        <v>0.0399999999999991</v>
      </c>
      <c r="AW531" s="232">
        <f t="shared" si="246"/>
        <v>0.0399999999999991</v>
      </c>
      <c r="AX531" s="232">
        <f t="shared" si="247"/>
        <v>0.0399999999999991</v>
      </c>
      <c r="AY531" s="232">
        <f t="shared" si="248"/>
        <v>0.04</v>
      </c>
      <c r="AZ531" s="232">
        <f t="shared" si="249"/>
        <v>0</v>
      </c>
    </row>
    <row r="532" spans="1:53">
      <c r="A532" s="269"/>
      <c r="C532" s="19">
        <v>409</v>
      </c>
      <c r="D532" s="86">
        <f ca="1" t="shared" si="273"/>
        <v>252.074049545472</v>
      </c>
      <c r="E532" s="251">
        <f ca="1" t="shared" si="250"/>
        <v>0.301114242325179</v>
      </c>
      <c r="F532" s="269">
        <f ca="1" t="shared" si="266"/>
        <v>559.321858979512</v>
      </c>
      <c r="G532" s="283">
        <f ca="1" t="shared" si="267"/>
        <v>168.419777782526</v>
      </c>
      <c r="H532" s="279">
        <f ca="1" t="shared" si="268"/>
        <v>0.162334215094489</v>
      </c>
      <c r="I532" s="269">
        <f ca="1">SUM($J$125:J532)/SUM($H$125:H532)</f>
        <v>0.49662907628989</v>
      </c>
      <c r="J532" s="284">
        <f t="shared" si="274"/>
        <v>0.0593367495334007</v>
      </c>
      <c r="K532" s="19">
        <f t="shared" si="276"/>
        <v>41800</v>
      </c>
      <c r="L532" s="269">
        <f t="shared" si="269"/>
        <v>3.08999999999996</v>
      </c>
      <c r="M532" s="226">
        <f ca="1" t="shared" si="270"/>
        <v>304.128</v>
      </c>
      <c r="N532" s="280">
        <f ca="1" t="shared" si="275"/>
        <v>0.102997465561103</v>
      </c>
      <c r="O532" s="226">
        <f t="shared" si="280"/>
        <v>105.6</v>
      </c>
      <c r="P532" s="19">
        <f ca="1" t="shared" si="244"/>
        <v>19.8</v>
      </c>
      <c r="Q532" s="226">
        <f ca="1" t="shared" si="279"/>
        <v>2.88</v>
      </c>
      <c r="R532" s="269">
        <f ca="1" t="shared" si="251"/>
        <v>0.842629042776937</v>
      </c>
      <c r="S532" s="266">
        <f ca="1" t="shared" si="252"/>
        <v>79.1606882886704</v>
      </c>
      <c r="T532" s="226">
        <f ca="1">(1+OFFSET('玩法产出(新)'!$C$18,MATCH(X532,'玩法产出(新)'!$B$19:$B$25,0),1)*(1-V532)+OFFSET('玩法产出(新)'!$C$18,1+MATCH(X532,'玩法产出(新)'!$B$19:$B$25,0),1)*(V532))^AA532*(1+OFFSET('玩法产出(新)'!$C$18,MATCH(X532,'玩法产出(新)'!$B$19:$B$25,0),3)*(1-V532)+OFFSET('玩法产出(新)'!$C$18,1+MATCH(X532,'玩法产出(新)'!$B$19:$B$25,0),3)*(V532))^AB532*(1+OFFSET('玩法产出(新)'!$C$18,MATCH(X532,'玩法产出(新)'!$B$19:$B$25,0),4)*(1-V532)+OFFSET('玩法产出(新)'!$C$18,1+MATCH(X532,'玩法产出(新)'!$B$19:$B$25,0),4)*(V532))^AC532*(1+OFFSET('玩法产出(新)'!$C$18,MATCH(X532,'玩法产出(新)'!$B$19:$B$25,0),5)*(1+V532)+OFFSET('玩法产出(新)'!$C$18,1+MATCH(X532,'玩法产出(新)'!$B$19:$B$25,5),1)*(V532))^AD532*(1+OFFSET('玩法产出(新)'!$C$18,MATCH(X532,'玩法产出(新)'!$B$19:$B$25,0),6)*(1+V532)+OFFSET('玩法产出(新)'!$C$18,1+MATCH(X532,'玩法产出(新)'!$B$19:$B$25,0),6)*(V532))^AE532</f>
        <v>211.855657486535</v>
      </c>
      <c r="U532" s="226">
        <f ca="1" t="shared" si="271"/>
        <v>0.138780027230675</v>
      </c>
      <c r="V532" s="226">
        <f ca="1">COUNTIF($X$124:$X532,X532)/(COUNTIF($X$124:$X$723,X532)+1)</f>
        <v>0.604123711340206</v>
      </c>
      <c r="W532" s="19">
        <v>30</v>
      </c>
      <c r="X532" s="19" t="s">
        <v>326</v>
      </c>
      <c r="Y532" s="19">
        <f t="shared" si="277"/>
        <v>42060</v>
      </c>
      <c r="Z532" s="19">
        <f ca="1" t="shared" si="253"/>
        <v>0.117161711597938</v>
      </c>
      <c r="AA532" s="282">
        <f ca="1" t="shared" si="254"/>
        <v>0.636178125000001</v>
      </c>
      <c r="AB532" s="282">
        <f ca="1" t="shared" si="255"/>
        <v>18</v>
      </c>
      <c r="AC532" s="282">
        <f ca="1" t="shared" si="256"/>
        <v>8.65815</v>
      </c>
      <c r="AD532" s="282">
        <f ca="1" t="shared" si="257"/>
        <v>2.1645375</v>
      </c>
      <c r="AE532" s="282">
        <f ca="1" t="shared" si="258"/>
        <v>0.541134375</v>
      </c>
      <c r="AF532" s="19" t="str">
        <f t="shared" si="259"/>
        <v>彩3</v>
      </c>
      <c r="AG532" s="19">
        <f>IFERROR(_xlfn.XLOOKUP(C532+1,[2]基因升级!$E$141:$E$500,[2]基因升级!$D$141:$D$500)-1,AG531)</f>
        <v>109</v>
      </c>
      <c r="AH532" s="19">
        <v>8</v>
      </c>
      <c r="AI532" s="19">
        <f t="shared" si="260"/>
        <v>10.5142500606751</v>
      </c>
      <c r="AJ532" s="19">
        <f t="shared" si="272"/>
        <v>0</v>
      </c>
      <c r="AK532" s="269">
        <v>2.0368</v>
      </c>
      <c r="AL532" s="287">
        <f t="shared" si="281"/>
        <v>17.9999999999998</v>
      </c>
      <c r="AM532" s="287">
        <f t="shared" si="282"/>
        <v>14.3999999999999</v>
      </c>
      <c r="AN532" s="287">
        <f t="shared" si="243"/>
        <v>10.7999999999999</v>
      </c>
      <c r="AO532" s="287">
        <f t="shared" si="278"/>
        <v>7.2</v>
      </c>
      <c r="AP532" s="86"/>
      <c r="AQ532" s="19">
        <f t="shared" si="261"/>
        <v>3.37993227573249</v>
      </c>
      <c r="AR532" s="19">
        <f t="shared" si="262"/>
        <v>2.64927108003396</v>
      </c>
      <c r="AS532" s="19">
        <f t="shared" si="263"/>
        <v>2.07656150565421</v>
      </c>
      <c r="AT532" s="19">
        <f t="shared" si="264"/>
        <v>1.62765815822426</v>
      </c>
      <c r="AU532" s="19">
        <f t="shared" si="265"/>
        <v>1</v>
      </c>
      <c r="AV532" s="232">
        <f t="shared" si="245"/>
        <v>0.0399999999999991</v>
      </c>
      <c r="AW532" s="232">
        <f t="shared" si="246"/>
        <v>0.0399999999999991</v>
      </c>
      <c r="AX532" s="232">
        <f t="shared" si="247"/>
        <v>0.0399999999999991</v>
      </c>
      <c r="AY532" s="232">
        <f t="shared" si="248"/>
        <v>0.04</v>
      </c>
      <c r="AZ532" s="232">
        <f t="shared" si="249"/>
        <v>0</v>
      </c>
    </row>
    <row r="533" spans="1:53">
      <c r="A533" s="269"/>
      <c r="C533" s="19">
        <v>410</v>
      </c>
      <c r="D533" s="86">
        <f ca="1" t="shared" si="273"/>
        <v>252.374461495158</v>
      </c>
      <c r="E533" s="251">
        <f ca="1" t="shared" si="250"/>
        <v>0.30041194968555</v>
      </c>
      <c r="F533" s="269">
        <f ca="1" t="shared" si="266"/>
        <v>561.16701114206</v>
      </c>
      <c r="G533" s="283">
        <f ca="1" t="shared" si="267"/>
        <v>168.581275916399</v>
      </c>
      <c r="H533" s="279">
        <f ca="1" t="shared" si="268"/>
        <v>0.161498133872556</v>
      </c>
      <c r="I533" s="269">
        <f ca="1">SUM($J$125:J533)/SUM($H$125:H533)</f>
        <v>0.496496707511314</v>
      </c>
      <c r="J533" s="284">
        <f t="shared" si="274"/>
        <v>0.059213459249591</v>
      </c>
      <c r="K533" s="19">
        <f t="shared" si="276"/>
        <v>41900</v>
      </c>
      <c r="L533" s="269">
        <f t="shared" si="269"/>
        <v>3.09499999999996</v>
      </c>
      <c r="M533" s="226">
        <f ca="1" t="shared" si="270"/>
        <v>306.24</v>
      </c>
      <c r="N533" s="280">
        <f ca="1" t="shared" si="275"/>
        <v>0.102284674622965</v>
      </c>
      <c r="O533" s="226">
        <f t="shared" si="280"/>
        <v>105.6</v>
      </c>
      <c r="P533" s="19">
        <f ca="1" t="shared" si="244"/>
        <v>20</v>
      </c>
      <c r="Q533" s="226">
        <f ca="1" t="shared" si="279"/>
        <v>2.9</v>
      </c>
      <c r="R533" s="269">
        <f ca="1" t="shared" si="251"/>
        <v>0.844107716322828</v>
      </c>
      <c r="S533" s="266">
        <f ca="1" t="shared" si="252"/>
        <v>79.2996021044834</v>
      </c>
      <c r="T533" s="226">
        <f ca="1">(1+OFFSET('玩法产出(新)'!$C$18,MATCH(X533,'玩法产出(新)'!$B$19:$B$25,0),1)*(1-V533)+OFFSET('玩法产出(新)'!$C$18,1+MATCH(X533,'玩法产出(新)'!$B$19:$B$25,0),1)*(V533))^AA533*(1+OFFSET('玩法产出(新)'!$C$18,MATCH(X533,'玩法产出(新)'!$B$19:$B$25,0),3)*(1-V533)+OFFSET('玩法产出(新)'!$C$18,1+MATCH(X533,'玩法产出(新)'!$B$19:$B$25,0),3)*(V533))^AB533*(1+OFFSET('玩法产出(新)'!$C$18,MATCH(X533,'玩法产出(新)'!$B$19:$B$25,0),4)*(1-V533)+OFFSET('玩法产出(新)'!$C$18,1+MATCH(X533,'玩法产出(新)'!$B$19:$B$25,0),4)*(V533))^AC533*(1+OFFSET('玩法产出(新)'!$C$18,MATCH(X533,'玩法产出(新)'!$B$19:$B$25,0),5)*(1+V533)+OFFSET('玩法产出(新)'!$C$18,1+MATCH(X533,'玩法产出(新)'!$B$19:$B$25,5),1)*(V533))^AD533*(1+OFFSET('玩法产出(新)'!$C$18,MATCH(X533,'玩法产出(新)'!$B$19:$B$25,0),6)*(1+V533)+OFFSET('玩法产出(新)'!$C$18,1+MATCH(X533,'玩法产出(新)'!$B$19:$B$25,0),6)*(V533))^AE533</f>
        <v>213.856216330845</v>
      </c>
      <c r="U533" s="226">
        <f ca="1" t="shared" si="271"/>
        <v>0.138913815812994</v>
      </c>
      <c r="V533" s="226">
        <f ca="1">COUNTIF($X$124:$X533,X533)/(COUNTIF($X$124:$X$723,X533)+1)</f>
        <v>0.606185567010309</v>
      </c>
      <c r="W533" s="19">
        <v>30</v>
      </c>
      <c r="X533" s="19" t="s">
        <v>326</v>
      </c>
      <c r="Y533" s="19">
        <f t="shared" si="277"/>
        <v>42160</v>
      </c>
      <c r="Z533" s="19">
        <f ca="1" t="shared" si="253"/>
        <v>0.112172134020618</v>
      </c>
      <c r="AA533" s="282">
        <f ca="1" t="shared" si="254"/>
        <v>0.608812499999999</v>
      </c>
      <c r="AB533" s="282">
        <f ca="1" t="shared" si="255"/>
        <v>18</v>
      </c>
      <c r="AC533" s="282">
        <f ca="1" t="shared" si="256"/>
        <v>8.679</v>
      </c>
      <c r="AD533" s="282">
        <f ca="1" t="shared" si="257"/>
        <v>2.16975</v>
      </c>
      <c r="AE533" s="282">
        <f ca="1" t="shared" si="258"/>
        <v>0.5424375</v>
      </c>
      <c r="AF533" s="19" t="str">
        <f t="shared" si="259"/>
        <v>彩3</v>
      </c>
      <c r="AG533" s="19">
        <f>IFERROR(_xlfn.XLOOKUP(C533+1,[2]基因升级!$E$141:$E$500,[2]基因升级!$D$141:$D$500)-1,AG532)</f>
        <v>109</v>
      </c>
      <c r="AH533" s="19">
        <v>8</v>
      </c>
      <c r="AI533" s="19">
        <f t="shared" si="260"/>
        <v>10.5142500606751</v>
      </c>
      <c r="AJ533" s="19">
        <f t="shared" si="272"/>
        <v>0</v>
      </c>
      <c r="AK533" s="269">
        <v>2.0368</v>
      </c>
      <c r="AL533" s="287">
        <f t="shared" si="281"/>
        <v>18.0399999999998</v>
      </c>
      <c r="AM533" s="287">
        <f t="shared" si="282"/>
        <v>14.4399999999999</v>
      </c>
      <c r="AN533" s="287">
        <f t="shared" si="243"/>
        <v>10.8399999999999</v>
      </c>
      <c r="AO533" s="287">
        <f t="shared" si="278"/>
        <v>7.24</v>
      </c>
      <c r="AP533" s="86"/>
      <c r="AQ533" s="19">
        <f t="shared" si="261"/>
        <v>3.38909193072772</v>
      </c>
      <c r="AR533" s="19">
        <f t="shared" si="262"/>
        <v>2.65645063486001</v>
      </c>
      <c r="AS533" s="19">
        <f t="shared" si="263"/>
        <v>2.08218901100535</v>
      </c>
      <c r="AT533" s="19">
        <f t="shared" si="264"/>
        <v>1.6320691303868</v>
      </c>
      <c r="AU533" s="19">
        <f t="shared" si="265"/>
        <v>1</v>
      </c>
      <c r="AV533" s="232">
        <f t="shared" si="245"/>
        <v>0.0399999999999991</v>
      </c>
      <c r="AW533" s="232">
        <f t="shared" si="246"/>
        <v>0.0399999999999991</v>
      </c>
      <c r="AX533" s="232">
        <f t="shared" si="247"/>
        <v>0.0399999999999991</v>
      </c>
      <c r="AY533" s="232">
        <f t="shared" si="248"/>
        <v>0.04</v>
      </c>
      <c r="AZ533" s="232">
        <f t="shared" si="249"/>
        <v>0</v>
      </c>
    </row>
    <row r="534" spans="1:53">
      <c r="A534" s="269"/>
      <c r="C534" s="19">
        <v>411</v>
      </c>
      <c r="D534" s="86">
        <f ca="1" t="shared" si="273"/>
        <v>252.674181404412</v>
      </c>
      <c r="E534" s="251">
        <f ca="1" t="shared" si="250"/>
        <v>0.29971990925463</v>
      </c>
      <c r="F534" s="269">
        <f ca="1" t="shared" si="266"/>
        <v>562.998796826191</v>
      </c>
      <c r="G534" s="283">
        <f ca="1" t="shared" si="267"/>
        <v>168.741948295212</v>
      </c>
      <c r="H534" s="279">
        <f ca="1" t="shared" si="268"/>
        <v>0.160672378813302</v>
      </c>
      <c r="I534" s="269">
        <f ca="1">SUM($J$125:J534)/SUM($H$125:H534)</f>
        <v>0.49636641674638</v>
      </c>
      <c r="J534" s="284">
        <f t="shared" si="274"/>
        <v>0.0590906971983713</v>
      </c>
      <c r="K534" s="19">
        <f t="shared" si="276"/>
        <v>42000</v>
      </c>
      <c r="L534" s="269">
        <f t="shared" si="269"/>
        <v>3.09999999999996</v>
      </c>
      <c r="M534" s="226">
        <f ca="1" t="shared" si="270"/>
        <v>308.352</v>
      </c>
      <c r="N534" s="280">
        <f ca="1" t="shared" si="275"/>
        <v>0.101581681614917</v>
      </c>
      <c r="O534" s="226">
        <f t="shared" si="280"/>
        <v>105.6</v>
      </c>
      <c r="P534" s="19">
        <f ca="1" t="shared" si="244"/>
        <v>20.2</v>
      </c>
      <c r="Q534" s="226">
        <f ca="1" t="shared" si="279"/>
        <v>2.92</v>
      </c>
      <c r="R534" s="269">
        <f ca="1" t="shared" si="251"/>
        <v>0.845587813199311</v>
      </c>
      <c r="S534" s="266">
        <f ca="1" t="shared" si="252"/>
        <v>79.4386496349248</v>
      </c>
      <c r="T534" s="226">
        <f ca="1">(1+OFFSET('玩法产出(新)'!$C$18,MATCH(X534,'玩法产出(新)'!$B$19:$B$25,0),1)*(1-V534)+OFFSET('玩法产出(新)'!$C$18,1+MATCH(X534,'玩法产出(新)'!$B$19:$B$25,0),1)*(V534))^AA534*(1+OFFSET('玩法产出(新)'!$C$18,MATCH(X534,'玩法产出(新)'!$B$19:$B$25,0),3)*(1-V534)+OFFSET('玩法产出(新)'!$C$18,1+MATCH(X534,'玩法产出(新)'!$B$19:$B$25,0),3)*(V534))^AB534*(1+OFFSET('玩法产出(新)'!$C$18,MATCH(X534,'玩法产出(新)'!$B$19:$B$25,0),4)*(1-V534)+OFFSET('玩法产出(新)'!$C$18,1+MATCH(X534,'玩法产出(新)'!$B$19:$B$25,0),4)*(V534))^AC534*(1+OFFSET('玩法产出(新)'!$C$18,MATCH(X534,'玩法产出(新)'!$B$19:$B$25,0),5)*(1+V534)+OFFSET('玩法产出(新)'!$C$18,1+MATCH(X534,'玩法产出(新)'!$B$19:$B$25,5),1)*(V534))^AD534*(1+OFFSET('玩法产出(新)'!$C$18,MATCH(X534,'玩法产出(新)'!$B$19:$B$25,0),6)*(1+V534)+OFFSET('玩法产出(新)'!$C$18,1+MATCH(X534,'玩法产出(新)'!$B$19:$B$25,0),6)*(V534))^AE534</f>
        <v>215.877619533179</v>
      </c>
      <c r="U534" s="226">
        <f ca="1" t="shared" si="271"/>
        <v>0.139047530441342</v>
      </c>
      <c r="V534" s="226">
        <f ca="1">COUNTIF($X$124:$X534,X534)/(COUNTIF($X$124:$X$723,X534)+1)</f>
        <v>0.608247422680412</v>
      </c>
      <c r="W534" s="19">
        <v>30</v>
      </c>
      <c r="X534" s="19" t="s">
        <v>326</v>
      </c>
      <c r="Y534" s="19">
        <f t="shared" si="277"/>
        <v>42260</v>
      </c>
      <c r="Z534" s="19">
        <f ca="1" t="shared" si="253"/>
        <v>0.107178042525773</v>
      </c>
      <c r="AA534" s="282">
        <f ca="1" t="shared" si="254"/>
        <v>0.581446875000001</v>
      </c>
      <c r="AB534" s="282">
        <f ca="1" t="shared" si="255"/>
        <v>18</v>
      </c>
      <c r="AC534" s="282">
        <f ca="1" t="shared" si="256"/>
        <v>8.69985</v>
      </c>
      <c r="AD534" s="282">
        <f ca="1" t="shared" si="257"/>
        <v>2.1749625</v>
      </c>
      <c r="AE534" s="282">
        <f ca="1" t="shared" si="258"/>
        <v>0.543740625</v>
      </c>
      <c r="AF534" s="19" t="str">
        <f t="shared" si="259"/>
        <v>彩3</v>
      </c>
      <c r="AG534" s="19">
        <f>IFERROR(_xlfn.XLOOKUP(C534+1,[2]基因升级!$E$141:$E$500,[2]基因升级!$D$141:$D$500)-1,AG533)</f>
        <v>110</v>
      </c>
      <c r="AH534" s="19">
        <v>8</v>
      </c>
      <c r="AI534" s="19">
        <f t="shared" si="260"/>
        <v>10.5142500606751</v>
      </c>
      <c r="AJ534" s="19">
        <f t="shared" si="272"/>
        <v>0</v>
      </c>
      <c r="AK534" s="269">
        <v>2.0368</v>
      </c>
      <c r="AL534" s="287">
        <f t="shared" si="281"/>
        <v>18.0799999999998</v>
      </c>
      <c r="AM534" s="287">
        <f t="shared" si="282"/>
        <v>14.4799999999999</v>
      </c>
      <c r="AN534" s="287">
        <f t="shared" si="243"/>
        <v>10.8799999999999</v>
      </c>
      <c r="AO534" s="287">
        <f t="shared" si="278"/>
        <v>7.28</v>
      </c>
      <c r="AP534" s="86"/>
      <c r="AQ534" s="19">
        <f t="shared" si="261"/>
        <v>3.39827640849241</v>
      </c>
      <c r="AR534" s="19">
        <f t="shared" si="262"/>
        <v>2.66364964636149</v>
      </c>
      <c r="AS534" s="19">
        <f t="shared" si="263"/>
        <v>2.08783176696014</v>
      </c>
      <c r="AT534" s="19">
        <f t="shared" si="264"/>
        <v>1.63649205633417</v>
      </c>
      <c r="AU534" s="19">
        <f t="shared" si="265"/>
        <v>1</v>
      </c>
      <c r="AV534" s="232">
        <f t="shared" si="245"/>
        <v>0.0399999999999991</v>
      </c>
      <c r="AW534" s="232">
        <f t="shared" si="246"/>
        <v>0.0399999999999991</v>
      </c>
      <c r="AX534" s="232">
        <f t="shared" si="247"/>
        <v>0.0399999999999991</v>
      </c>
      <c r="AY534" s="232">
        <f t="shared" si="248"/>
        <v>0.04</v>
      </c>
      <c r="AZ534" s="232">
        <f t="shared" si="249"/>
        <v>0</v>
      </c>
    </row>
    <row r="535" spans="1:53">
      <c r="A535" s="269"/>
      <c r="C535" s="19">
        <v>412</v>
      </c>
      <c r="D535" s="86">
        <f ca="1" t="shared" si="273"/>
        <v>252.973219321409</v>
      </c>
      <c r="E535" s="251">
        <f ca="1" t="shared" si="250"/>
        <v>0.29903791699668</v>
      </c>
      <c r="F535" s="269">
        <f ca="1" t="shared" si="266"/>
        <v>564.817354057744</v>
      </c>
      <c r="G535" s="283">
        <f ca="1" t="shared" si="267"/>
        <v>168.901805041004</v>
      </c>
      <c r="H535" s="279">
        <f ca="1" t="shared" si="268"/>
        <v>0.159856745791984</v>
      </c>
      <c r="I535" s="269">
        <f ca="1">SUM($J$125:J535)/SUM($H$125:H535)</f>
        <v>0.496238167352374</v>
      </c>
      <c r="J535" s="284">
        <f t="shared" si="274"/>
        <v>0.0589684598984093</v>
      </c>
      <c r="K535" s="19">
        <f t="shared" si="276"/>
        <v>42100</v>
      </c>
      <c r="L535" s="269">
        <f t="shared" si="269"/>
        <v>3.10499999999996</v>
      </c>
      <c r="M535" s="226">
        <f ca="1" t="shared" si="270"/>
        <v>310.464</v>
      </c>
      <c r="N535" s="280">
        <f ca="1" t="shared" si="275"/>
        <v>0.100888285893589</v>
      </c>
      <c r="O535" s="226">
        <f t="shared" si="280"/>
        <v>105.6</v>
      </c>
      <c r="P535" s="19">
        <f ca="1" t="shared" si="244"/>
        <v>20.4</v>
      </c>
      <c r="Q535" s="226">
        <f ca="1" t="shared" si="279"/>
        <v>2.94</v>
      </c>
      <c r="R535" s="269">
        <f ca="1" t="shared" si="251"/>
        <v>0.847069332620126</v>
      </c>
      <c r="S535" s="266">
        <f ca="1" t="shared" si="252"/>
        <v>79.5778308061294</v>
      </c>
      <c r="T535" s="226">
        <f ca="1">(1+OFFSET('玩法产出(新)'!$C$18,MATCH(X535,'玩法产出(新)'!$B$19:$B$25,0),1)*(1-V535)+OFFSET('玩法产出(新)'!$C$18,1+MATCH(X535,'玩法产出(新)'!$B$19:$B$25,0),1)*(V535))^AA535*(1+OFFSET('玩法产出(新)'!$C$18,MATCH(X535,'玩法产出(新)'!$B$19:$B$25,0),3)*(1-V535)+OFFSET('玩法产出(新)'!$C$18,1+MATCH(X535,'玩法产出(新)'!$B$19:$B$25,0),3)*(V535))^AB535*(1+OFFSET('玩法产出(新)'!$C$18,MATCH(X535,'玩法产出(新)'!$B$19:$B$25,0),4)*(1-V535)+OFFSET('玩法产出(新)'!$C$18,1+MATCH(X535,'玩法产出(新)'!$B$19:$B$25,0),4)*(V535))^AC535*(1+OFFSET('玩法产出(新)'!$C$18,MATCH(X535,'玩法产出(新)'!$B$19:$B$25,0),5)*(1+V535)+OFFSET('玩法产出(新)'!$C$18,1+MATCH(X535,'玩法产出(新)'!$B$19:$B$25,5),1)*(V535))^AD535*(1+OFFSET('玩法产出(新)'!$C$18,MATCH(X535,'玩法产出(新)'!$B$19:$B$25,0),6)*(1+V535)+OFFSET('玩法产出(新)'!$C$18,1+MATCH(X535,'玩法产出(新)'!$B$19:$B$25,0),6)*(V535))^AE535</f>
        <v>217.920099776761</v>
      </c>
      <c r="U535" s="226">
        <f ca="1" t="shared" si="271"/>
        <v>0.139181171204682</v>
      </c>
      <c r="V535" s="226">
        <f ca="1">COUNTIF($X$124:$X535,X535)/(COUNTIF($X$124:$X$723,X535)+1)</f>
        <v>0.610309278350516</v>
      </c>
      <c r="W535" s="19">
        <v>30</v>
      </c>
      <c r="X535" s="19" t="s">
        <v>326</v>
      </c>
      <c r="Y535" s="19">
        <f t="shared" si="277"/>
        <v>42360</v>
      </c>
      <c r="Z535" s="19">
        <f ca="1" t="shared" si="253"/>
        <v>0.102179437113402</v>
      </c>
      <c r="AA535" s="282">
        <f ca="1" t="shared" si="254"/>
        <v>0.554081249999999</v>
      </c>
      <c r="AB535" s="282">
        <f ca="1" t="shared" si="255"/>
        <v>18</v>
      </c>
      <c r="AC535" s="282">
        <f ca="1" t="shared" si="256"/>
        <v>8.7207</v>
      </c>
      <c r="AD535" s="282">
        <f ca="1" t="shared" si="257"/>
        <v>2.180175</v>
      </c>
      <c r="AE535" s="282">
        <f ca="1" t="shared" si="258"/>
        <v>0.54504375</v>
      </c>
      <c r="AF535" s="19" t="str">
        <f t="shared" si="259"/>
        <v>彩3</v>
      </c>
      <c r="AG535" s="19">
        <f>IFERROR(_xlfn.XLOOKUP(C535+1,[2]基因升级!$E$141:$E$500,[2]基因升级!$D$141:$D$500)-1,AG534)</f>
        <v>110</v>
      </c>
      <c r="AH535" s="19">
        <v>8</v>
      </c>
      <c r="AI535" s="19">
        <f t="shared" si="260"/>
        <v>10.5142500606751</v>
      </c>
      <c r="AJ535" s="19">
        <f t="shared" si="272"/>
        <v>0</v>
      </c>
      <c r="AK535" s="269">
        <v>2.0368</v>
      </c>
      <c r="AL535" s="287">
        <f t="shared" si="281"/>
        <v>18.1199999999998</v>
      </c>
      <c r="AM535" s="287">
        <f t="shared" si="282"/>
        <v>14.5199999999999</v>
      </c>
      <c r="AN535" s="287">
        <f t="shared" si="243"/>
        <v>10.9199999999999</v>
      </c>
      <c r="AO535" s="287">
        <f t="shared" si="278"/>
        <v>7.32</v>
      </c>
      <c r="AP535" s="86"/>
      <c r="AQ535" s="19">
        <f t="shared" si="261"/>
        <v>3.40748577629653</v>
      </c>
      <c r="AR535" s="19">
        <f t="shared" si="262"/>
        <v>2.67086816726619</v>
      </c>
      <c r="AS535" s="19">
        <f t="shared" si="263"/>
        <v>2.09348981484789</v>
      </c>
      <c r="AT535" s="19">
        <f t="shared" si="264"/>
        <v>1.64092696846129</v>
      </c>
      <c r="AU535" s="19">
        <f t="shared" si="265"/>
        <v>1</v>
      </c>
      <c r="AV535" s="232">
        <f t="shared" si="245"/>
        <v>0.0399999999999991</v>
      </c>
      <c r="AW535" s="232">
        <f t="shared" si="246"/>
        <v>0.0399999999999991</v>
      </c>
      <c r="AX535" s="232">
        <f t="shared" si="247"/>
        <v>0.0399999999999991</v>
      </c>
      <c r="AY535" s="232">
        <f t="shared" si="248"/>
        <v>0.04</v>
      </c>
      <c r="AZ535" s="232">
        <f t="shared" si="249"/>
        <v>0</v>
      </c>
    </row>
    <row r="536" spans="1:53">
      <c r="A536" s="269"/>
      <c r="C536" s="19">
        <v>413</v>
      </c>
      <c r="D536" s="86">
        <f ca="1" t="shared" si="273"/>
        <v>253.271585095758</v>
      </c>
      <c r="E536" s="251">
        <f ca="1" t="shared" si="250"/>
        <v>0.298365774348626</v>
      </c>
      <c r="F536" s="269">
        <f ca="1" t="shared" si="266"/>
        <v>566.622818740667</v>
      </c>
      <c r="G536" s="283">
        <f ca="1" t="shared" si="267"/>
        <v>169.060856077161</v>
      </c>
      <c r="H536" s="279">
        <f ca="1" t="shared" si="268"/>
        <v>0.159051036156512</v>
      </c>
      <c r="I536" s="269">
        <f ca="1">SUM($J$125:J536)/SUM($H$125:H536)</f>
        <v>0.496111923527881</v>
      </c>
      <c r="J536" s="284">
        <f t="shared" si="274"/>
        <v>0.0588467438995792</v>
      </c>
      <c r="K536" s="19">
        <f t="shared" si="276"/>
        <v>42200</v>
      </c>
      <c r="L536" s="269">
        <f t="shared" si="269"/>
        <v>3.10999999999996</v>
      </c>
      <c r="M536" s="226">
        <f ca="1" t="shared" si="270"/>
        <v>312.576</v>
      </c>
      <c r="N536" s="280">
        <f ca="1" t="shared" si="275"/>
        <v>0.100204292256933</v>
      </c>
      <c r="O536" s="226">
        <f t="shared" si="280"/>
        <v>105.6</v>
      </c>
      <c r="P536" s="19">
        <f ca="1" t="shared" si="244"/>
        <v>20.6</v>
      </c>
      <c r="Q536" s="226">
        <f ca="1" t="shared" si="279"/>
        <v>2.96</v>
      </c>
      <c r="R536" s="269">
        <f ca="1" t="shared" si="251"/>
        <v>0.848552273799964</v>
      </c>
      <c r="S536" s="266">
        <f ca="1" t="shared" si="252"/>
        <v>79.7171455443216</v>
      </c>
      <c r="T536" s="226">
        <f ca="1">(1+OFFSET('玩法产出(新)'!$C$18,MATCH(X536,'玩法产出(新)'!$B$19:$B$25,0),1)*(1-V536)+OFFSET('玩法产出(新)'!$C$18,1+MATCH(X536,'玩法产出(新)'!$B$19:$B$25,0),1)*(V536))^AA536*(1+OFFSET('玩法产出(新)'!$C$18,MATCH(X536,'玩法产出(新)'!$B$19:$B$25,0),3)*(1-V536)+OFFSET('玩法产出(新)'!$C$18,1+MATCH(X536,'玩法产出(新)'!$B$19:$B$25,0),3)*(V536))^AB536*(1+OFFSET('玩法产出(新)'!$C$18,MATCH(X536,'玩法产出(新)'!$B$19:$B$25,0),4)*(1-V536)+OFFSET('玩法产出(新)'!$C$18,1+MATCH(X536,'玩法产出(新)'!$B$19:$B$25,0),4)*(V536))^AC536*(1+OFFSET('玩法产出(新)'!$C$18,MATCH(X536,'玩法产出(新)'!$B$19:$B$25,0),5)*(1+V536)+OFFSET('玩法产出(新)'!$C$18,1+MATCH(X536,'玩法产出(新)'!$B$19:$B$25,5),1)*(V536))^AD536*(1+OFFSET('玩法产出(新)'!$C$18,MATCH(X536,'玩法产出(新)'!$B$19:$B$25,0),6)*(1+V536)+OFFSET('玩法产出(新)'!$C$18,1+MATCH(X536,'玩法产出(新)'!$B$19:$B$25,0),6)*(V536))^AE536</f>
        <v>219.983892490394</v>
      </c>
      <c r="U536" s="226">
        <f ca="1" t="shared" si="271"/>
        <v>0.139314738192114</v>
      </c>
      <c r="V536" s="226">
        <f ca="1">COUNTIF($X$124:$X536,X536)/(COUNTIF($X$124:$X$723,X536)+1)</f>
        <v>0.612371134020619</v>
      </c>
      <c r="W536" s="19">
        <v>30</v>
      </c>
      <c r="X536" s="19" t="s">
        <v>326</v>
      </c>
      <c r="Y536" s="19">
        <f t="shared" si="277"/>
        <v>42460</v>
      </c>
      <c r="Z536" s="19">
        <f ca="1" t="shared" si="253"/>
        <v>0.0971763177835048</v>
      </c>
      <c r="AA536" s="282">
        <f ca="1" t="shared" si="254"/>
        <v>0.526715624999998</v>
      </c>
      <c r="AB536" s="282">
        <f ca="1" t="shared" si="255"/>
        <v>18</v>
      </c>
      <c r="AC536" s="282">
        <f ca="1" t="shared" si="256"/>
        <v>8.74155</v>
      </c>
      <c r="AD536" s="282">
        <f ca="1" t="shared" si="257"/>
        <v>2.1853875</v>
      </c>
      <c r="AE536" s="282">
        <f ca="1" t="shared" si="258"/>
        <v>0.546346875</v>
      </c>
      <c r="AF536" s="19" t="str">
        <f t="shared" si="259"/>
        <v>彩3</v>
      </c>
      <c r="AG536" s="19">
        <f>IFERROR(_xlfn.XLOOKUP(C536+1,[2]基因升级!$E$141:$E$500,[2]基因升级!$D$141:$D$500)-1,AG535)</f>
        <v>110</v>
      </c>
      <c r="AH536" s="19">
        <v>8</v>
      </c>
      <c r="AI536" s="19">
        <f t="shared" si="260"/>
        <v>10.5142500606751</v>
      </c>
      <c r="AJ536" s="19">
        <f t="shared" si="272"/>
        <v>0</v>
      </c>
      <c r="AK536" s="269">
        <v>2.0368</v>
      </c>
      <c r="AL536" s="287">
        <f t="shared" si="281"/>
        <v>18.1599999999998</v>
      </c>
      <c r="AM536" s="287">
        <f t="shared" si="282"/>
        <v>14.5599999999999</v>
      </c>
      <c r="AN536" s="287">
        <f t="shared" si="243"/>
        <v>10.9599999999999</v>
      </c>
      <c r="AO536" s="287">
        <f t="shared" si="278"/>
        <v>7.36</v>
      </c>
      <c r="AP536" s="86"/>
      <c r="AQ536" s="19">
        <f t="shared" si="261"/>
        <v>3.41672010159237</v>
      </c>
      <c r="AR536" s="19">
        <f t="shared" si="262"/>
        <v>2.67810625044482</v>
      </c>
      <c r="AS536" s="19">
        <f t="shared" si="263"/>
        <v>2.09916319610991</v>
      </c>
      <c r="AT536" s="19">
        <f t="shared" si="264"/>
        <v>1.64537389925082</v>
      </c>
      <c r="AU536" s="19">
        <f t="shared" si="265"/>
        <v>1</v>
      </c>
      <c r="AV536" s="232">
        <f t="shared" si="245"/>
        <v>0.0399999999999991</v>
      </c>
      <c r="AW536" s="232">
        <f t="shared" si="246"/>
        <v>0.0399999999999991</v>
      </c>
      <c r="AX536" s="232">
        <f t="shared" si="247"/>
        <v>0.0399999999999991</v>
      </c>
      <c r="AY536" s="232">
        <f t="shared" si="248"/>
        <v>0.04</v>
      </c>
      <c r="AZ536" s="232">
        <f t="shared" si="249"/>
        <v>0</v>
      </c>
    </row>
    <row r="537" spans="1:53">
      <c r="A537" s="269"/>
      <c r="C537" s="19">
        <v>414</v>
      </c>
      <c r="D537" s="86">
        <f ca="1" t="shared" si="273"/>
        <v>253.569288383793</v>
      </c>
      <c r="E537" s="251">
        <f ca="1" t="shared" si="250"/>
        <v>0.297703288035996</v>
      </c>
      <c r="F537" s="269">
        <f ca="1" t="shared" si="266"/>
        <v>568.415324701564</v>
      </c>
      <c r="G537" s="283">
        <f ca="1" t="shared" si="267"/>
        <v>169.219111133704</v>
      </c>
      <c r="H537" s="279">
        <f ca="1" t="shared" si="268"/>
        <v>0.158255056543538</v>
      </c>
      <c r="I537" s="269">
        <f ca="1">SUM($J$125:J537)/SUM($H$125:H537)</f>
        <v>0.495987650288405</v>
      </c>
      <c r="J537" s="284">
        <f t="shared" si="274"/>
        <v>0.0587255457826359</v>
      </c>
      <c r="K537" s="19">
        <f t="shared" si="276"/>
        <v>42300</v>
      </c>
      <c r="L537" s="269">
        <f t="shared" si="269"/>
        <v>3.11499999999996</v>
      </c>
      <c r="M537" s="226">
        <f ca="1" t="shared" si="270"/>
        <v>314.688</v>
      </c>
      <c r="N537" s="280">
        <f ca="1" t="shared" si="275"/>
        <v>0.0995295107609167</v>
      </c>
      <c r="O537" s="226">
        <f t="shared" si="280"/>
        <v>105.6</v>
      </c>
      <c r="P537" s="19">
        <f ca="1" t="shared" si="244"/>
        <v>20.8</v>
      </c>
      <c r="Q537" s="226">
        <f ca="1" t="shared" si="279"/>
        <v>2.98</v>
      </c>
      <c r="R537" s="269">
        <f ca="1" t="shared" si="251"/>
        <v>0.850036635954458</v>
      </c>
      <c r="S537" s="266">
        <f ca="1" t="shared" si="252"/>
        <v>79.856593775814</v>
      </c>
      <c r="T537" s="226">
        <f ca="1">(1+OFFSET('玩法产出(新)'!$C$18,MATCH(X537,'玩法产出(新)'!$B$19:$B$25,0),1)*(1-V537)+OFFSET('玩法产出(新)'!$C$18,1+MATCH(X537,'玩法产出(新)'!$B$19:$B$25,0),1)*(V537))^AA537*(1+OFFSET('玩法产出(新)'!$C$18,MATCH(X537,'玩法产出(新)'!$B$19:$B$25,0),3)*(1-V537)+OFFSET('玩法产出(新)'!$C$18,1+MATCH(X537,'玩法产出(新)'!$B$19:$B$25,0),3)*(V537))^AB537*(1+OFFSET('玩法产出(新)'!$C$18,MATCH(X537,'玩法产出(新)'!$B$19:$B$25,0),4)*(1-V537)+OFFSET('玩法产出(新)'!$C$18,1+MATCH(X537,'玩法产出(新)'!$B$19:$B$25,0),4)*(V537))^AC537*(1+OFFSET('玩法产出(新)'!$C$18,MATCH(X537,'玩法产出(新)'!$B$19:$B$25,0),5)*(1+V537)+OFFSET('玩法产出(新)'!$C$18,1+MATCH(X537,'玩法产出(新)'!$B$19:$B$25,5),1)*(V537))^AD537*(1+OFFSET('玩法产出(新)'!$C$18,MATCH(X537,'玩法产出(新)'!$B$19:$B$25,0),6)*(1+V537)+OFFSET('玩法产出(新)'!$C$18,1+MATCH(X537,'玩法产出(新)'!$B$19:$B$25,0),6)*(V537))^AE537</f>
        <v>222.069235882398</v>
      </c>
      <c r="U537" s="226">
        <f ca="1" t="shared" si="271"/>
        <v>0.139448231492444</v>
      </c>
      <c r="V537" s="226">
        <f ca="1">COUNTIF($X$124:$X537,X537)/(COUNTIF($X$124:$X$723,X537)+1)</f>
        <v>0.614432989690722</v>
      </c>
      <c r="W537" s="19">
        <v>30</v>
      </c>
      <c r="X537" s="19" t="s">
        <v>326</v>
      </c>
      <c r="Y537" s="19">
        <f t="shared" si="277"/>
        <v>42560</v>
      </c>
      <c r="Z537" s="19">
        <f ca="1" t="shared" si="253"/>
        <v>0.0921686845360824</v>
      </c>
      <c r="AA537" s="282">
        <f ca="1" t="shared" si="254"/>
        <v>0.49935</v>
      </c>
      <c r="AB537" s="282">
        <f ca="1" t="shared" si="255"/>
        <v>18</v>
      </c>
      <c r="AC537" s="282">
        <f ca="1" t="shared" si="256"/>
        <v>8.7624</v>
      </c>
      <c r="AD537" s="282">
        <f ca="1" t="shared" si="257"/>
        <v>2.1906</v>
      </c>
      <c r="AE537" s="282">
        <f ca="1" t="shared" si="258"/>
        <v>0.54765</v>
      </c>
      <c r="AF537" s="19" t="str">
        <f t="shared" si="259"/>
        <v>彩3</v>
      </c>
      <c r="AG537" s="19">
        <f>IFERROR(_xlfn.XLOOKUP(C537+1,[2]基因升级!$E$141:$E$500,[2]基因升级!$D$141:$D$500)-1,AG536)</f>
        <v>110</v>
      </c>
      <c r="AH537" s="19">
        <v>8</v>
      </c>
      <c r="AI537" s="19">
        <f t="shared" si="260"/>
        <v>10.5142500606751</v>
      </c>
      <c r="AJ537" s="19">
        <f t="shared" si="272"/>
        <v>0</v>
      </c>
      <c r="AK537" s="269">
        <v>2.0368</v>
      </c>
      <c r="AL537" s="287">
        <f t="shared" si="281"/>
        <v>18.1999999999998</v>
      </c>
      <c r="AM537" s="287">
        <f t="shared" si="282"/>
        <v>14.5999999999999</v>
      </c>
      <c r="AN537" s="287">
        <f t="shared" si="243"/>
        <v>10.9999999999999</v>
      </c>
      <c r="AO537" s="287">
        <f t="shared" si="278"/>
        <v>7.4</v>
      </c>
      <c r="AP537" s="86"/>
      <c r="AQ537" s="19">
        <f t="shared" si="261"/>
        <v>3.42597945201504</v>
      </c>
      <c r="AR537" s="19">
        <f t="shared" si="262"/>
        <v>2.68536394891138</v>
      </c>
      <c r="AS537" s="19">
        <f t="shared" si="263"/>
        <v>2.10485195229983</v>
      </c>
      <c r="AT537" s="19">
        <f t="shared" si="264"/>
        <v>1.64983288127348</v>
      </c>
      <c r="AU537" s="19">
        <f t="shared" si="265"/>
        <v>1</v>
      </c>
      <c r="AV537" s="232">
        <f t="shared" si="245"/>
        <v>0.0399999999999991</v>
      </c>
      <c r="AW537" s="232">
        <f t="shared" si="246"/>
        <v>0.0399999999999991</v>
      </c>
      <c r="AX537" s="232">
        <f t="shared" si="247"/>
        <v>0.0399999999999991</v>
      </c>
      <c r="AY537" s="232">
        <f t="shared" si="248"/>
        <v>0.04</v>
      </c>
      <c r="AZ537" s="232">
        <f t="shared" si="249"/>
        <v>0</v>
      </c>
    </row>
    <row r="538" spans="1:53">
      <c r="A538" s="269"/>
      <c r="C538" s="19">
        <v>415</v>
      </c>
      <c r="D538" s="86">
        <f ca="1" t="shared" si="273"/>
        <v>253.86633865369</v>
      </c>
      <c r="E538" s="251">
        <f ca="1" t="shared" si="250"/>
        <v>0.297050269896772</v>
      </c>
      <c r="F538" s="269">
        <f ca="1" t="shared" si="266"/>
        <v>570.195003732084</v>
      </c>
      <c r="G538" s="283">
        <f ca="1" t="shared" si="267"/>
        <v>169.376579752407</v>
      </c>
      <c r="H538" s="279">
        <f ca="1" t="shared" si="268"/>
        <v>0.157468618702552</v>
      </c>
      <c r="I538" s="269">
        <f ca="1">SUM($J$125:J538)/SUM($H$125:H538)</f>
        <v>0.495865313442828</v>
      </c>
      <c r="J538" s="284">
        <f t="shared" si="274"/>
        <v>0.058604862158731</v>
      </c>
      <c r="K538" s="19">
        <f t="shared" si="276"/>
        <v>42400</v>
      </c>
      <c r="L538" s="269">
        <f t="shared" si="269"/>
        <v>3.11999999999996</v>
      </c>
      <c r="M538" s="226">
        <f ca="1" t="shared" si="270"/>
        <v>316.8</v>
      </c>
      <c r="N538" s="280">
        <f ca="1" t="shared" si="275"/>
        <v>0.0988637565437784</v>
      </c>
      <c r="O538" s="226">
        <f t="shared" si="280"/>
        <v>105.6</v>
      </c>
      <c r="P538" s="19">
        <f ca="1" t="shared" si="244"/>
        <v>21</v>
      </c>
      <c r="Q538" s="226">
        <f ca="1" t="shared" si="279"/>
        <v>3</v>
      </c>
      <c r="R538" s="269">
        <f ca="1" t="shared" si="251"/>
        <v>0.851522418300187</v>
      </c>
      <c r="S538" s="266">
        <f ca="1" t="shared" si="252"/>
        <v>79.9961754270083</v>
      </c>
      <c r="T538" s="226">
        <f ca="1">(1+OFFSET('玩法产出(新)'!$C$18,MATCH(X538,'玩法产出(新)'!$B$19:$B$25,0),1)*(1-V538)+OFFSET('玩法产出(新)'!$C$18,1+MATCH(X538,'玩法产出(新)'!$B$19:$B$25,0),1)*(V538))^AA538*(1+OFFSET('玩法产出(新)'!$C$18,MATCH(X538,'玩法产出(新)'!$B$19:$B$25,0),3)*(1-V538)+OFFSET('玩法产出(新)'!$C$18,1+MATCH(X538,'玩法产出(新)'!$B$19:$B$25,0),3)*(V538))^AB538*(1+OFFSET('玩法产出(新)'!$C$18,MATCH(X538,'玩法产出(新)'!$B$19:$B$25,0),4)*(1-V538)+OFFSET('玩法产出(新)'!$C$18,1+MATCH(X538,'玩法产出(新)'!$B$19:$B$25,0),4)*(V538))^AC538*(1+OFFSET('玩法产出(新)'!$C$18,MATCH(X538,'玩法产出(新)'!$B$19:$B$25,0),5)*(1+V538)+OFFSET('玩法产出(新)'!$C$18,1+MATCH(X538,'玩法产出(新)'!$B$19:$B$25,5),1)*(V538))^AD538*(1+OFFSET('玩法产出(新)'!$C$18,MATCH(X538,'玩法产出(新)'!$B$19:$B$25,0),6)*(1+V538)+OFFSET('玩法产出(新)'!$C$18,1+MATCH(X538,'玩法产出(新)'!$B$19:$B$25,0),6)*(V538))^AE538</f>
        <v>224.17637097498</v>
      </c>
      <c r="U538" s="226">
        <f ca="1" t="shared" si="271"/>
        <v>0.139581651194263</v>
      </c>
      <c r="V538" s="226">
        <f ca="1">COUNTIF($X$124:$X538,X538)/(COUNTIF($X$124:$X$723,X538)+1)</f>
        <v>0.616494845360825</v>
      </c>
      <c r="W538" s="19">
        <v>30</v>
      </c>
      <c r="X538" s="19" t="s">
        <v>326</v>
      </c>
      <c r="Y538" s="19">
        <f t="shared" si="277"/>
        <v>42660</v>
      </c>
      <c r="Z538" s="19">
        <f ca="1" t="shared" si="253"/>
        <v>0.0871565373711337</v>
      </c>
      <c r="AA538" s="282">
        <f ca="1" t="shared" si="254"/>
        <v>0.471984374999998</v>
      </c>
      <c r="AB538" s="282">
        <f ca="1" t="shared" si="255"/>
        <v>18</v>
      </c>
      <c r="AC538" s="282">
        <f ca="1" t="shared" si="256"/>
        <v>8.78325</v>
      </c>
      <c r="AD538" s="282">
        <f ca="1" t="shared" si="257"/>
        <v>2.1958125</v>
      </c>
      <c r="AE538" s="282">
        <f ca="1" t="shared" si="258"/>
        <v>0.548953125</v>
      </c>
      <c r="AF538" s="19" t="str">
        <f t="shared" si="259"/>
        <v>彩3</v>
      </c>
      <c r="AG538" s="19">
        <f>IFERROR(_xlfn.XLOOKUP(C538+1,[2]基因升级!$E$141:$E$500,[2]基因升级!$D$141:$D$500)-1,AG537)</f>
        <v>110</v>
      </c>
      <c r="AH538" s="19">
        <v>8</v>
      </c>
      <c r="AI538" s="19">
        <f t="shared" si="260"/>
        <v>10.5142500606751</v>
      </c>
      <c r="AJ538" s="19">
        <f t="shared" si="272"/>
        <v>0</v>
      </c>
      <c r="AK538" s="269">
        <v>2.0368</v>
      </c>
      <c r="AL538" s="287">
        <f t="shared" si="281"/>
        <v>18.2399999999998</v>
      </c>
      <c r="AM538" s="287">
        <f t="shared" si="282"/>
        <v>14.6399999999999</v>
      </c>
      <c r="AN538" s="287">
        <f t="shared" si="243"/>
        <v>11.0399999999999</v>
      </c>
      <c r="AO538" s="287">
        <f t="shared" si="278"/>
        <v>7.44</v>
      </c>
      <c r="AP538" s="86"/>
      <c r="AQ538" s="19">
        <f t="shared" si="261"/>
        <v>3.43526389538289</v>
      </c>
      <c r="AR538" s="19">
        <f t="shared" si="262"/>
        <v>2.69264131582352</v>
      </c>
      <c r="AS538" s="19">
        <f t="shared" si="263"/>
        <v>2.11055612508386</v>
      </c>
      <c r="AT538" s="19">
        <f t="shared" si="264"/>
        <v>1.65430394718825</v>
      </c>
      <c r="AU538" s="19">
        <f t="shared" si="265"/>
        <v>1</v>
      </c>
      <c r="AV538" s="232">
        <f t="shared" si="245"/>
        <v>0.0399999999999991</v>
      </c>
      <c r="AW538" s="232">
        <f t="shared" si="246"/>
        <v>0.0399999999999991</v>
      </c>
      <c r="AX538" s="232">
        <f t="shared" si="247"/>
        <v>0.0399999999999991</v>
      </c>
      <c r="AY538" s="232">
        <f t="shared" si="248"/>
        <v>0.04</v>
      </c>
      <c r="AZ538" s="232">
        <f t="shared" si="249"/>
        <v>0</v>
      </c>
    </row>
    <row r="539" spans="1:53">
      <c r="A539" s="269"/>
      <c r="C539" s="19">
        <v>416</v>
      </c>
      <c r="D539" s="86">
        <f ca="1" t="shared" si="273"/>
        <v>254.162745190403</v>
      </c>
      <c r="E539" s="251">
        <f ca="1" t="shared" si="250"/>
        <v>0.2964065367124</v>
      </c>
      <c r="F539" s="269">
        <f ca="1" t="shared" si="266"/>
        <v>571.961985629991</v>
      </c>
      <c r="G539" s="283">
        <f ca="1" t="shared" si="267"/>
        <v>169.533271291733</v>
      </c>
      <c r="H539" s="279">
        <f ca="1" t="shared" si="268"/>
        <v>0.156691539326317</v>
      </c>
      <c r="I539" s="269">
        <f ca="1">SUM($J$125:J539)/SUM($H$125:H539)</f>
        <v>0.495744879570714</v>
      </c>
      <c r="J539" s="284">
        <f t="shared" si="274"/>
        <v>0.058484689669271</v>
      </c>
      <c r="K539" s="19">
        <f t="shared" si="276"/>
        <v>42500</v>
      </c>
      <c r="L539" s="269">
        <f t="shared" si="269"/>
        <v>3.12499999999996</v>
      </c>
      <c r="M539" s="226">
        <f ca="1" t="shared" si="270"/>
        <v>318.912</v>
      </c>
      <c r="N539" s="280">
        <f ca="1" t="shared" si="275"/>
        <v>0.0982068496570605</v>
      </c>
      <c r="O539" s="226">
        <f t="shared" si="280"/>
        <v>105.6</v>
      </c>
      <c r="P539" s="19">
        <f ca="1" t="shared" si="244"/>
        <v>21.2</v>
      </c>
      <c r="Q539" s="226">
        <f ca="1" t="shared" si="279"/>
        <v>3.02</v>
      </c>
      <c r="R539" s="269">
        <f ca="1" t="shared" si="251"/>
        <v>0.85300962005467</v>
      </c>
      <c r="S539" s="266">
        <f ca="1" t="shared" si="252"/>
        <v>80.1358904243943</v>
      </c>
      <c r="T539" s="226">
        <f ca="1">(1+OFFSET('玩法产出(新)'!$C$18,MATCH(X539,'玩法产出(新)'!$B$19:$B$25,0),1)*(1-V539)+OFFSET('玩法产出(新)'!$C$18,1+MATCH(X539,'玩法产出(新)'!$B$19:$B$25,0),1)*(V539))^AA539*(1+OFFSET('玩法产出(新)'!$C$18,MATCH(X539,'玩法产出(新)'!$B$19:$B$25,0),3)*(1-V539)+OFFSET('玩法产出(新)'!$C$18,1+MATCH(X539,'玩法产出(新)'!$B$19:$B$25,0),3)*(V539))^AB539*(1+OFFSET('玩法产出(新)'!$C$18,MATCH(X539,'玩法产出(新)'!$B$19:$B$25,0),4)*(1-V539)+OFFSET('玩法产出(新)'!$C$18,1+MATCH(X539,'玩法产出(新)'!$B$19:$B$25,0),4)*(V539))^AC539*(1+OFFSET('玩法产出(新)'!$C$18,MATCH(X539,'玩法产出(新)'!$B$19:$B$25,0),5)*(1+V539)+OFFSET('玩法产出(新)'!$C$18,1+MATCH(X539,'玩法产出(新)'!$B$19:$B$25,5),1)*(V539))^AD539*(1+OFFSET('玩法产出(新)'!$C$18,MATCH(X539,'玩法产出(新)'!$B$19:$B$25,0),6)*(1+V539)+OFFSET('玩法产出(新)'!$C$18,1+MATCH(X539,'玩法产出(新)'!$B$19:$B$25,0),6)*(V539))^AE539</f>
        <v>226.305541639057</v>
      </c>
      <c r="U539" s="226">
        <f ca="1" t="shared" si="271"/>
        <v>0.139714997386068</v>
      </c>
      <c r="V539" s="226">
        <f ca="1">COUNTIF($X$124:$X539,X539)/(COUNTIF($X$124:$X$723,X539)+1)</f>
        <v>0.618556701030928</v>
      </c>
      <c r="W539" s="19">
        <v>30</v>
      </c>
      <c r="X539" s="19" t="s">
        <v>326</v>
      </c>
      <c r="Y539" s="19">
        <f t="shared" si="277"/>
        <v>42760</v>
      </c>
      <c r="Z539" s="19">
        <f ca="1" t="shared" si="253"/>
        <v>0.0821398762886598</v>
      </c>
      <c r="AA539" s="282">
        <f ca="1" t="shared" si="254"/>
        <v>0.44461875</v>
      </c>
      <c r="AB539" s="282">
        <f ca="1" t="shared" si="255"/>
        <v>18</v>
      </c>
      <c r="AC539" s="282">
        <f ca="1" t="shared" si="256"/>
        <v>8.8041</v>
      </c>
      <c r="AD539" s="282">
        <f ca="1" t="shared" si="257"/>
        <v>2.201025</v>
      </c>
      <c r="AE539" s="282">
        <f ca="1" t="shared" si="258"/>
        <v>0.55025625</v>
      </c>
      <c r="AF539" s="19" t="str">
        <f t="shared" si="259"/>
        <v>彩3</v>
      </c>
      <c r="AG539" s="19">
        <f>IFERROR(_xlfn.XLOOKUP(C539+1,[2]基因升级!$E$141:$E$500,[2]基因升级!$D$141:$D$500)-1,AG538)</f>
        <v>110</v>
      </c>
      <c r="AH539" s="19">
        <v>8</v>
      </c>
      <c r="AI539" s="19">
        <f t="shared" si="260"/>
        <v>10.5142500606751</v>
      </c>
      <c r="AJ539" s="19">
        <f t="shared" si="272"/>
        <v>0</v>
      </c>
      <c r="AK539" s="269">
        <v>2.0368</v>
      </c>
      <c r="AL539" s="287">
        <f t="shared" si="281"/>
        <v>18.2799999999998</v>
      </c>
      <c r="AM539" s="287">
        <f t="shared" si="282"/>
        <v>14.6799999999999</v>
      </c>
      <c r="AN539" s="287">
        <f t="shared" si="243"/>
        <v>11.0799999999999</v>
      </c>
      <c r="AO539" s="287">
        <f t="shared" si="278"/>
        <v>7.48</v>
      </c>
      <c r="AP539" s="86"/>
      <c r="AQ539" s="19">
        <f t="shared" si="261"/>
        <v>3.44457349969811</v>
      </c>
      <c r="AR539" s="19">
        <f t="shared" si="262"/>
        <v>2.69993840448294</v>
      </c>
      <c r="AS539" s="19">
        <f t="shared" si="263"/>
        <v>2.11627575624116</v>
      </c>
      <c r="AT539" s="19">
        <f t="shared" si="264"/>
        <v>1.65878712974261</v>
      </c>
      <c r="AU539" s="19">
        <f t="shared" si="265"/>
        <v>1</v>
      </c>
      <c r="AV539" s="232">
        <f t="shared" si="245"/>
        <v>0.0399999999999991</v>
      </c>
      <c r="AW539" s="232">
        <f t="shared" si="246"/>
        <v>0.0399999999999991</v>
      </c>
      <c r="AX539" s="232">
        <f t="shared" si="247"/>
        <v>0.0399999999999991</v>
      </c>
      <c r="AY539" s="232">
        <f t="shared" si="248"/>
        <v>0.04</v>
      </c>
      <c r="AZ539" s="232">
        <f t="shared" si="249"/>
        <v>0</v>
      </c>
    </row>
    <row r="540" spans="1:53">
      <c r="A540" s="269"/>
      <c r="C540" s="19">
        <v>417</v>
      </c>
      <c r="D540" s="86">
        <f ca="1" t="shared" si="273"/>
        <v>254.458517100448</v>
      </c>
      <c r="E540" s="251">
        <f ca="1" t="shared" si="250"/>
        <v>0.295771910045018</v>
      </c>
      <c r="F540" s="269">
        <f ca="1" t="shared" si="266"/>
        <v>573.716398240097</v>
      </c>
      <c r="G540" s="283">
        <f ca="1" t="shared" si="267"/>
        <v>169.689194931622</v>
      </c>
      <c r="H540" s="279">
        <f ca="1" t="shared" si="268"/>
        <v>0.155923639888954</v>
      </c>
      <c r="I540" s="269">
        <f ca="1">SUM($J$125:J540)/SUM($H$125:H540)</f>
        <v>0.495626316000388</v>
      </c>
      <c r="J540" s="284">
        <f t="shared" si="274"/>
        <v>0.0583650249853633</v>
      </c>
      <c r="K540" s="19">
        <f t="shared" si="276"/>
        <v>42600</v>
      </c>
      <c r="L540" s="269">
        <f t="shared" si="269"/>
        <v>3.12999999999996</v>
      </c>
      <c r="M540" s="226">
        <f ca="1" t="shared" si="270"/>
        <v>321.024</v>
      </c>
      <c r="N540" s="280">
        <f ca="1" t="shared" si="275"/>
        <v>0.0975586149035763</v>
      </c>
      <c r="O540" s="226">
        <f t="shared" si="280"/>
        <v>105.6</v>
      </c>
      <c r="P540" s="19">
        <f ca="1" t="shared" si="244"/>
        <v>21.4</v>
      </c>
      <c r="Q540" s="226">
        <f ca="1" t="shared" si="279"/>
        <v>3.04</v>
      </c>
      <c r="R540" s="269">
        <f ca="1" t="shared" si="251"/>
        <v>0.854498240436366</v>
      </c>
      <c r="S540" s="266">
        <f ca="1" t="shared" si="252"/>
        <v>80.2757386945504</v>
      </c>
      <c r="T540" s="226">
        <f ca="1">(1+OFFSET('玩法产出(新)'!$C$18,MATCH(X540,'玩法产出(新)'!$B$19:$B$25,0),1)*(1-V540)+OFFSET('玩法产出(新)'!$C$18,1+MATCH(X540,'玩法产出(新)'!$B$19:$B$25,0),1)*(V540))^AA540*(1+OFFSET('玩法产出(新)'!$C$18,MATCH(X540,'玩法产出(新)'!$B$19:$B$25,0),3)*(1-V540)+OFFSET('玩法产出(新)'!$C$18,1+MATCH(X540,'玩法产出(新)'!$B$19:$B$25,0),3)*(V540))^AB540*(1+OFFSET('玩法产出(新)'!$C$18,MATCH(X540,'玩法产出(新)'!$B$19:$B$25,0),4)*(1-V540)+OFFSET('玩法产出(新)'!$C$18,1+MATCH(X540,'玩法产出(新)'!$B$19:$B$25,0),4)*(V540))^AC540*(1+OFFSET('玩法产出(新)'!$C$18,MATCH(X540,'玩法产出(新)'!$B$19:$B$25,0),5)*(1+V540)+OFFSET('玩法产出(新)'!$C$18,1+MATCH(X540,'玩法产出(新)'!$B$19:$B$25,5),1)*(V540))^AD540*(1+OFFSET('玩法产出(新)'!$C$18,MATCH(X540,'玩法产出(新)'!$B$19:$B$25,0),6)*(1+V540)+OFFSET('玩法产出(新)'!$C$18,1+MATCH(X540,'玩法产出(新)'!$B$19:$B$25,0),6)*(V540))^AE540</f>
        <v>228.456994629519</v>
      </c>
      <c r="U540" s="226">
        <f ca="1" t="shared" si="271"/>
        <v>0.139848270156079</v>
      </c>
      <c r="V540" s="226">
        <f ca="1">COUNTIF($X$124:$X540,X540)/(COUNTIF($X$124:$X$723,X540)+1)</f>
        <v>0.620618556701031</v>
      </c>
      <c r="W540" s="19">
        <v>30</v>
      </c>
      <c r="X540" s="19" t="s">
        <v>326</v>
      </c>
      <c r="Y540" s="19">
        <f t="shared" si="277"/>
        <v>42860</v>
      </c>
      <c r="Z540" s="19">
        <f ca="1" t="shared" si="253"/>
        <v>0.0771187012886595</v>
      </c>
      <c r="AA540" s="282">
        <f ca="1" t="shared" si="254"/>
        <v>0.417253124999998</v>
      </c>
      <c r="AB540" s="282">
        <f ca="1" t="shared" si="255"/>
        <v>18</v>
      </c>
      <c r="AC540" s="282">
        <f ca="1" t="shared" si="256"/>
        <v>8.82495</v>
      </c>
      <c r="AD540" s="282">
        <f ca="1" t="shared" si="257"/>
        <v>2.2062375</v>
      </c>
      <c r="AE540" s="282">
        <f ca="1" t="shared" si="258"/>
        <v>0.551559375</v>
      </c>
      <c r="AF540" s="19" t="str">
        <f t="shared" si="259"/>
        <v>彩3</v>
      </c>
      <c r="AG540" s="19">
        <f>IFERROR(_xlfn.XLOOKUP(C540+1,[2]基因升级!$E$141:$E$500,[2]基因升级!$D$141:$D$500)-1,AG539)</f>
        <v>110</v>
      </c>
      <c r="AH540" s="19">
        <v>8</v>
      </c>
      <c r="AI540" s="19">
        <f t="shared" si="260"/>
        <v>10.5142500606751</v>
      </c>
      <c r="AJ540" s="19">
        <f t="shared" si="272"/>
        <v>0</v>
      </c>
      <c r="AK540" s="269">
        <v>2.0368</v>
      </c>
      <c r="AL540" s="287">
        <f t="shared" si="281"/>
        <v>18.3199999999998</v>
      </c>
      <c r="AM540" s="287">
        <f t="shared" si="282"/>
        <v>14.7199999999999</v>
      </c>
      <c r="AN540" s="287">
        <f t="shared" si="243"/>
        <v>11.1199999999999</v>
      </c>
      <c r="AO540" s="287">
        <f t="shared" si="278"/>
        <v>7.52</v>
      </c>
      <c r="AP540" s="86"/>
      <c r="AQ540" s="19">
        <f t="shared" si="261"/>
        <v>3.45390833314714</v>
      </c>
      <c r="AR540" s="19">
        <f t="shared" si="262"/>
        <v>2.70725526833581</v>
      </c>
      <c r="AS540" s="19">
        <f t="shared" si="263"/>
        <v>2.1220108876641</v>
      </c>
      <c r="AT540" s="19">
        <f t="shared" si="264"/>
        <v>1.6632824617728</v>
      </c>
      <c r="AU540" s="19">
        <f t="shared" si="265"/>
        <v>1</v>
      </c>
      <c r="AV540" s="232">
        <f t="shared" si="245"/>
        <v>0.0399999999999991</v>
      </c>
      <c r="AW540" s="232">
        <f t="shared" si="246"/>
        <v>0.0399999999999991</v>
      </c>
      <c r="AX540" s="232">
        <f t="shared" si="247"/>
        <v>0.0399999999999991</v>
      </c>
      <c r="AY540" s="232">
        <f t="shared" si="248"/>
        <v>0.04</v>
      </c>
      <c r="AZ540" s="232">
        <f t="shared" si="249"/>
        <v>0</v>
      </c>
    </row>
    <row r="541" spans="1:53">
      <c r="A541" s="269"/>
      <c r="C541" s="19">
        <v>418</v>
      </c>
      <c r="D541" s="86">
        <f ca="1" t="shared" si="273"/>
        <v>254.753663316529</v>
      </c>
      <c r="E541" s="251">
        <f ca="1" t="shared" si="250"/>
        <v>0.295146216081633</v>
      </c>
      <c r="F541" s="269">
        <f ca="1" t="shared" si="266"/>
        <v>575.458367493131</v>
      </c>
      <c r="G541" s="283">
        <f ca="1" t="shared" si="267"/>
        <v>169.844359678111</v>
      </c>
      <c r="H541" s="279">
        <f ca="1" t="shared" si="268"/>
        <v>0.155164746489106</v>
      </c>
      <c r="I541" s="269">
        <f ca="1">SUM($J$125:J541)/SUM($H$125:H541)</f>
        <v>0.495509590787779</v>
      </c>
      <c r="J541" s="284">
        <f t="shared" si="274"/>
        <v>0.058245864807688</v>
      </c>
      <c r="K541" s="19">
        <f t="shared" si="276"/>
        <v>42700</v>
      </c>
      <c r="L541" s="269">
        <f t="shared" si="269"/>
        <v>3.13499999999996</v>
      </c>
      <c r="M541" s="226">
        <f ca="1" t="shared" si="270"/>
        <v>323.136</v>
      </c>
      <c r="N541" s="280">
        <f ca="1" t="shared" si="275"/>
        <v>0.0969188816814182</v>
      </c>
      <c r="O541" s="226">
        <f t="shared" si="280"/>
        <v>105.6</v>
      </c>
      <c r="P541" s="19">
        <f ca="1" t="shared" si="244"/>
        <v>21.6</v>
      </c>
      <c r="Q541" s="226">
        <f ca="1" t="shared" si="279"/>
        <v>3.06</v>
      </c>
      <c r="R541" s="269">
        <f ca="1" t="shared" si="251"/>
        <v>0.855988278664674</v>
      </c>
      <c r="S541" s="266">
        <f ca="1" t="shared" si="252"/>
        <v>80.4157201641429</v>
      </c>
      <c r="T541" s="226">
        <f ca="1">(1+OFFSET('玩法产出(新)'!$C$18,MATCH(X541,'玩法产出(新)'!$B$19:$B$25,0),1)*(1-V541)+OFFSET('玩法产出(新)'!$C$18,1+MATCH(X541,'玩法产出(新)'!$B$19:$B$25,0),1)*(V541))^AA541*(1+OFFSET('玩法产出(新)'!$C$18,MATCH(X541,'玩法产出(新)'!$B$19:$B$25,0),3)*(1-V541)+OFFSET('玩法产出(新)'!$C$18,1+MATCH(X541,'玩法产出(新)'!$B$19:$B$25,0),3)*(V541))^AB541*(1+OFFSET('玩法产出(新)'!$C$18,MATCH(X541,'玩法产出(新)'!$B$19:$B$25,0),4)*(1-V541)+OFFSET('玩法产出(新)'!$C$18,1+MATCH(X541,'玩法产出(新)'!$B$19:$B$25,0),4)*(V541))^AC541*(1+OFFSET('玩法产出(新)'!$C$18,MATCH(X541,'玩法产出(新)'!$B$19:$B$25,0),5)*(1+V541)+OFFSET('玩法产出(新)'!$C$18,1+MATCH(X541,'玩法产出(新)'!$B$19:$B$25,5),1)*(V541))^AD541*(1+OFFSET('玩法产出(新)'!$C$18,MATCH(X541,'玩法产出(新)'!$B$19:$B$25,0),6)*(1+V541)+OFFSET('玩法产出(新)'!$C$18,1+MATCH(X541,'玩法产出(新)'!$B$19:$B$25,0),6)*(V541))^AE541</f>
        <v>230.630979620956</v>
      </c>
      <c r="U541" s="226">
        <f ca="1" t="shared" si="271"/>
        <v>0.139981469592526</v>
      </c>
      <c r="V541" s="226">
        <f ca="1">COUNTIF($X$124:$X541,X541)/(COUNTIF($X$124:$X$723,X541)+1)</f>
        <v>0.622680412371134</v>
      </c>
      <c r="W541" s="19">
        <v>30</v>
      </c>
      <c r="X541" s="19" t="s">
        <v>326</v>
      </c>
      <c r="Y541" s="19">
        <f t="shared" si="277"/>
        <v>42960</v>
      </c>
      <c r="Z541" s="19">
        <f ca="1" t="shared" si="253"/>
        <v>0.0720930123711341</v>
      </c>
      <c r="AA541" s="282">
        <f ca="1" t="shared" si="254"/>
        <v>0.3898875</v>
      </c>
      <c r="AB541" s="282">
        <f ca="1" t="shared" si="255"/>
        <v>18</v>
      </c>
      <c r="AC541" s="282">
        <f ca="1" t="shared" si="256"/>
        <v>8.8458</v>
      </c>
      <c r="AD541" s="282">
        <f ca="1" t="shared" si="257"/>
        <v>2.21145</v>
      </c>
      <c r="AE541" s="282">
        <f ca="1" t="shared" si="258"/>
        <v>0.5528625</v>
      </c>
      <c r="AF541" s="19" t="str">
        <f t="shared" si="259"/>
        <v>彩3</v>
      </c>
      <c r="AG541" s="19">
        <f>IFERROR(_xlfn.XLOOKUP(C541+1,[2]基因升级!$E$141:$E$500,[2]基因升级!$D$141:$D$500)-1,AG540)</f>
        <v>110</v>
      </c>
      <c r="AH541" s="19">
        <v>8</v>
      </c>
      <c r="AI541" s="19">
        <f t="shared" si="260"/>
        <v>10.5142500606751</v>
      </c>
      <c r="AJ541" s="19">
        <f t="shared" si="272"/>
        <v>0</v>
      </c>
      <c r="AK541" s="269">
        <v>2.0368</v>
      </c>
      <c r="AL541" s="287">
        <f t="shared" si="281"/>
        <v>18.3599999999998</v>
      </c>
      <c r="AM541" s="287">
        <f t="shared" si="282"/>
        <v>14.7599999999999</v>
      </c>
      <c r="AN541" s="287">
        <f t="shared" si="243"/>
        <v>11.1599999999999</v>
      </c>
      <c r="AO541" s="287">
        <f t="shared" si="278"/>
        <v>7.56</v>
      </c>
      <c r="AP541" s="86"/>
      <c r="AQ541" s="19">
        <f t="shared" si="261"/>
        <v>3.46326846410122</v>
      </c>
      <c r="AR541" s="19">
        <f t="shared" si="262"/>
        <v>2.71459196097312</v>
      </c>
      <c r="AS541" s="19">
        <f t="shared" si="263"/>
        <v>2.12776156135857</v>
      </c>
      <c r="AT541" s="19">
        <f t="shared" si="264"/>
        <v>1.66778997620404</v>
      </c>
      <c r="AU541" s="19">
        <f t="shared" si="265"/>
        <v>1</v>
      </c>
      <c r="AV541" s="232">
        <f t="shared" si="245"/>
        <v>0.0399999999999991</v>
      </c>
      <c r="AW541" s="232">
        <f t="shared" si="246"/>
        <v>0.0399999999999991</v>
      </c>
      <c r="AX541" s="232">
        <f t="shared" si="247"/>
        <v>0.0399999999999991</v>
      </c>
      <c r="AY541" s="232">
        <f t="shared" si="248"/>
        <v>0.04</v>
      </c>
      <c r="AZ541" s="232">
        <f t="shared" si="249"/>
        <v>0</v>
      </c>
    </row>
    <row r="542" spans="1:53">
      <c r="A542" s="269"/>
      <c r="C542" s="19">
        <v>419</v>
      </c>
      <c r="D542" s="86">
        <f ca="1" t="shared" si="273"/>
        <v>255.048192602013</v>
      </c>
      <c r="E542" s="251">
        <f ca="1" t="shared" si="250"/>
        <v>0.294529285483867</v>
      </c>
      <c r="F542" s="269">
        <f ca="1" t="shared" si="266"/>
        <v>577.188017444613</v>
      </c>
      <c r="G542" s="283">
        <f ca="1" t="shared" si="267"/>
        <v>169.998774367812</v>
      </c>
      <c r="H542" s="279">
        <f ca="1" t="shared" si="268"/>
        <v>0.154414689700559</v>
      </c>
      <c r="I542" s="269">
        <f ca="1">SUM($J$125:J542)/SUM($H$125:H542)</f>
        <v>0.495394672695988</v>
      </c>
      <c r="J542" s="284">
        <f t="shared" si="274"/>
        <v>0.0581272058659579</v>
      </c>
      <c r="K542" s="19">
        <f t="shared" si="276"/>
        <v>42800</v>
      </c>
      <c r="L542" s="269">
        <f t="shared" si="269"/>
        <v>3.13999999999996</v>
      </c>
      <c r="M542" s="226">
        <f ca="1" t="shared" si="270"/>
        <v>325.248</v>
      </c>
      <c r="N542" s="280">
        <f ca="1" t="shared" si="275"/>
        <v>0.0962874838346153</v>
      </c>
      <c r="O542" s="226">
        <f t="shared" si="280"/>
        <v>105.6</v>
      </c>
      <c r="P542" s="19">
        <f ca="1" t="shared" si="244"/>
        <v>21.8</v>
      </c>
      <c r="Q542" s="226">
        <f ca="1" t="shared" si="279"/>
        <v>3.08</v>
      </c>
      <c r="R542" s="269">
        <f ca="1" t="shared" si="251"/>
        <v>0.857479733959926</v>
      </c>
      <c r="S542" s="266">
        <f ca="1" t="shared" si="252"/>
        <v>80.5558347599262</v>
      </c>
      <c r="T542" s="226">
        <f ca="1">(1+OFFSET('玩法产出(新)'!$C$18,MATCH(X542,'玩法产出(新)'!$B$19:$B$25,0),1)*(1-V542)+OFFSET('玩法产出(新)'!$C$18,1+MATCH(X542,'玩法产出(新)'!$B$19:$B$25,0),1)*(V542))^AA542*(1+OFFSET('玩法产出(新)'!$C$18,MATCH(X542,'玩法产出(新)'!$B$19:$B$25,0),3)*(1-V542)+OFFSET('玩法产出(新)'!$C$18,1+MATCH(X542,'玩法产出(新)'!$B$19:$B$25,0),3)*(V542))^AB542*(1+OFFSET('玩法产出(新)'!$C$18,MATCH(X542,'玩法产出(新)'!$B$19:$B$25,0),4)*(1-V542)+OFFSET('玩法产出(新)'!$C$18,1+MATCH(X542,'玩法产出(新)'!$B$19:$B$25,0),4)*(V542))^AC542*(1+OFFSET('玩法产出(新)'!$C$18,MATCH(X542,'玩法产出(新)'!$B$19:$B$25,0),5)*(1+V542)+OFFSET('玩法产出(新)'!$C$18,1+MATCH(X542,'玩法产出(新)'!$B$19:$B$25,5),1)*(V542))^AD542*(1+OFFSET('玩法产出(新)'!$C$18,MATCH(X542,'玩法产出(新)'!$B$19:$B$25,0),6)*(1+V542)+OFFSET('玩法产出(新)'!$C$18,1+MATCH(X542,'玩法产出(新)'!$B$19:$B$25,0),6)*(V542))^AE542</f>
        <v>232.82774924383</v>
      </c>
      <c r="U542" s="226">
        <f ca="1" t="shared" si="271"/>
        <v>0.140114595783294</v>
      </c>
      <c r="V542" s="226">
        <f ca="1">COUNTIF($X$124:$X542,X542)/(COUNTIF($X$124:$X$723,X542)+1)</f>
        <v>0.624742268041237</v>
      </c>
      <c r="W542" s="19">
        <v>30</v>
      </c>
      <c r="X542" s="19" t="s">
        <v>326</v>
      </c>
      <c r="Y542" s="19">
        <f t="shared" si="277"/>
        <v>43060</v>
      </c>
      <c r="Z542" s="19">
        <f ca="1" t="shared" si="253"/>
        <v>0.0670628095360829</v>
      </c>
      <c r="AA542" s="282">
        <f ca="1" t="shared" si="254"/>
        <v>0.362521875000002</v>
      </c>
      <c r="AB542" s="282">
        <f ca="1" t="shared" si="255"/>
        <v>18</v>
      </c>
      <c r="AC542" s="282">
        <f ca="1" t="shared" si="256"/>
        <v>8.86665</v>
      </c>
      <c r="AD542" s="282">
        <f ca="1" t="shared" si="257"/>
        <v>2.2166625</v>
      </c>
      <c r="AE542" s="282">
        <f ca="1" t="shared" si="258"/>
        <v>0.554165625</v>
      </c>
      <c r="AF542" s="19" t="str">
        <f t="shared" si="259"/>
        <v>彩3</v>
      </c>
      <c r="AG542" s="19">
        <f>IFERROR(_xlfn.XLOOKUP(C542+1,[2]基因升级!$E$141:$E$500,[2]基因升级!$D$141:$D$500)-1,AG541)</f>
        <v>110</v>
      </c>
      <c r="AH542" s="19">
        <v>8</v>
      </c>
      <c r="AI542" s="19">
        <f t="shared" si="260"/>
        <v>10.5142500606751</v>
      </c>
      <c r="AJ542" s="19">
        <f t="shared" si="272"/>
        <v>0</v>
      </c>
      <c r="AK542" s="269">
        <v>2.0368</v>
      </c>
      <c r="AL542" s="287">
        <f t="shared" si="281"/>
        <v>18.3999999999998</v>
      </c>
      <c r="AM542" s="287">
        <f t="shared" si="282"/>
        <v>14.7999999999999</v>
      </c>
      <c r="AN542" s="287">
        <f t="shared" si="243"/>
        <v>11.1999999999999</v>
      </c>
      <c r="AO542" s="287">
        <f t="shared" si="278"/>
        <v>7.6</v>
      </c>
      <c r="AP542" s="86"/>
      <c r="AQ542" s="19">
        <f t="shared" si="261"/>
        <v>3.47265396111689</v>
      </c>
      <c r="AR542" s="19">
        <f t="shared" si="262"/>
        <v>2.72194853613112</v>
      </c>
      <c r="AS542" s="19">
        <f t="shared" si="263"/>
        <v>2.1335278194443</v>
      </c>
      <c r="AT542" s="19">
        <f t="shared" si="264"/>
        <v>1.67230970605077</v>
      </c>
      <c r="AU542" s="19">
        <f t="shared" si="265"/>
        <v>1</v>
      </c>
      <c r="AV542" s="232">
        <f t="shared" si="245"/>
        <v>0.0399999999999991</v>
      </c>
      <c r="AW542" s="232">
        <f t="shared" si="246"/>
        <v>0.0399999999999991</v>
      </c>
      <c r="AX542" s="232">
        <f t="shared" si="247"/>
        <v>0.0399999999999991</v>
      </c>
      <c r="AY542" s="232">
        <f t="shared" si="248"/>
        <v>0.04</v>
      </c>
      <c r="AZ542" s="232">
        <f t="shared" si="249"/>
        <v>0</v>
      </c>
    </row>
    <row r="543" spans="1:53">
      <c r="A543" s="269"/>
      <c r="C543" s="19">
        <v>420</v>
      </c>
      <c r="D543" s="86">
        <f ca="1" t="shared" si="273"/>
        <v>258.351321688051</v>
      </c>
      <c r="E543" s="251">
        <f ca="1" t="shared" si="250"/>
        <v>3.30312908603773</v>
      </c>
      <c r="F543" s="269">
        <f ca="1" t="shared" si="266"/>
        <v>52.4235206359281</v>
      </c>
      <c r="G543" s="283">
        <f ca="1" t="shared" si="267"/>
        <v>173.161655805033</v>
      </c>
      <c r="H543" s="279">
        <f ca="1" t="shared" si="268"/>
        <v>3.16288143722144</v>
      </c>
      <c r="I543" s="269">
        <f ca="1">SUM($J$125:J543)/SUM($H$125:H543)</f>
        <v>0.486147000122398</v>
      </c>
      <c r="J543" s="284">
        <f t="shared" si="274"/>
        <v>0.0580090449188049</v>
      </c>
      <c r="K543" s="19">
        <f t="shared" si="276"/>
        <v>42900</v>
      </c>
      <c r="L543" s="269">
        <f t="shared" si="269"/>
        <v>3.14499999999996</v>
      </c>
      <c r="M543" s="226">
        <f ca="1" t="shared" si="270"/>
        <v>401.28</v>
      </c>
      <c r="N543" s="280">
        <f ca="1" t="shared" si="275"/>
        <v>3.10487239230265</v>
      </c>
      <c r="O543" s="226">
        <f t="shared" si="280"/>
        <v>211.2</v>
      </c>
      <c r="P543" s="19">
        <f ca="1" t="shared" si="244"/>
        <v>10</v>
      </c>
      <c r="Q543" s="226">
        <f ca="1" t="shared" si="279"/>
        <v>1.9</v>
      </c>
      <c r="R543" s="269">
        <f ca="1" t="shared" si="251"/>
        <v>0.858972605543392</v>
      </c>
      <c r="S543" s="266">
        <f ca="1" t="shared" si="252"/>
        <v>80.6960824087425</v>
      </c>
      <c r="T543" s="226">
        <f ca="1">(1+OFFSET('玩法产出(新)'!$C$18,MATCH(X543,'玩法产出(新)'!$B$19:$B$25,0),1)*(1-V543)+OFFSET('玩法产出(新)'!$C$18,1+MATCH(X543,'玩法产出(新)'!$B$19:$B$25,0),1)*(V543))^AA543*(1+OFFSET('玩法产出(新)'!$C$18,MATCH(X543,'玩法产出(新)'!$B$19:$B$25,0),3)*(1-V543)+OFFSET('玩法产出(新)'!$C$18,1+MATCH(X543,'玩法产出(新)'!$B$19:$B$25,0),3)*(V543))^AB543*(1+OFFSET('玩法产出(新)'!$C$18,MATCH(X543,'玩法产出(新)'!$B$19:$B$25,0),4)*(1-V543)+OFFSET('玩法产出(新)'!$C$18,1+MATCH(X543,'玩法产出(新)'!$B$19:$B$25,0),4)*(V543))^AC543*(1+OFFSET('玩法产出(新)'!$C$18,MATCH(X543,'玩法产出(新)'!$B$19:$B$25,0),5)*(1+V543)+OFFSET('玩法产出(新)'!$C$18,1+MATCH(X543,'玩法产出(新)'!$B$19:$B$25,5),1)*(V543))^AD543*(1+OFFSET('玩法产出(新)'!$C$18,MATCH(X543,'玩法产出(新)'!$B$19:$B$25,0),6)*(1+V543)+OFFSET('玩法产出(新)'!$C$18,1+MATCH(X543,'玩法产出(新)'!$B$19:$B$25,0),6)*(V543))^AE543</f>
        <v>235.047559121132</v>
      </c>
      <c r="U543" s="226">
        <f ca="1" t="shared" si="271"/>
        <v>0.140247648816268</v>
      </c>
      <c r="V543" s="226">
        <f ca="1">COUNTIF($X$124:$X543,X543)/(COUNTIF($X$124:$X$723,X543)+1)</f>
        <v>0.62680412371134</v>
      </c>
      <c r="W543" s="19">
        <v>30</v>
      </c>
      <c r="X543" s="19" t="s">
        <v>326</v>
      </c>
      <c r="Y543" s="19">
        <f t="shared" si="277"/>
        <v>43160</v>
      </c>
      <c r="Z543" s="19">
        <f ca="1" t="shared" si="253"/>
        <v>0.0620280927835053</v>
      </c>
      <c r="AA543" s="282">
        <f ca="1" t="shared" si="254"/>
        <v>0.335156250000001</v>
      </c>
      <c r="AB543" s="282">
        <f ca="1" t="shared" si="255"/>
        <v>18</v>
      </c>
      <c r="AC543" s="282">
        <f ca="1" t="shared" si="256"/>
        <v>8.8875</v>
      </c>
      <c r="AD543" s="282">
        <f ca="1" t="shared" si="257"/>
        <v>2.221875</v>
      </c>
      <c r="AE543" s="282">
        <f ca="1" t="shared" si="258"/>
        <v>0.55546875</v>
      </c>
      <c r="AF543" s="19" t="str">
        <f t="shared" si="259"/>
        <v>彩4</v>
      </c>
      <c r="AG543" s="19">
        <f>IFERROR(_xlfn.XLOOKUP(C543+1,[2]基因升级!$E$141:$E$500,[2]基因升级!$D$141:$D$500)-1,AG542)</f>
        <v>110</v>
      </c>
      <c r="AH543" s="19">
        <v>8</v>
      </c>
      <c r="AI543" s="19">
        <f t="shared" si="260"/>
        <v>10.5142500606751</v>
      </c>
      <c r="AJ543" s="19">
        <f t="shared" si="272"/>
        <v>0</v>
      </c>
      <c r="AK543" s="269">
        <v>2.0368</v>
      </c>
      <c r="AL543" s="287">
        <f t="shared" si="281"/>
        <v>18.4399999999998</v>
      </c>
      <c r="AM543" s="287">
        <f t="shared" si="282"/>
        <v>14.8399999999999</v>
      </c>
      <c r="AN543" s="287">
        <f t="shared" si="243"/>
        <v>11.2399999999999</v>
      </c>
      <c r="AO543" s="287">
        <f t="shared" si="278"/>
        <v>7.64</v>
      </c>
      <c r="AP543" s="287">
        <f t="shared" ref="AP543:AP606" si="283">AO453</f>
        <v>1.5</v>
      </c>
      <c r="AQ543" s="19">
        <f t="shared" si="261"/>
        <v>3.48206489293645</v>
      </c>
      <c r="AR543" s="19">
        <f t="shared" si="262"/>
        <v>2.72932504769164</v>
      </c>
      <c r="AS543" s="19">
        <f t="shared" si="263"/>
        <v>2.13930970415517</v>
      </c>
      <c r="AT543" s="19">
        <f t="shared" si="264"/>
        <v>1.6768416844169</v>
      </c>
      <c r="AU543" s="19">
        <f t="shared" si="265"/>
        <v>1.10681660630838</v>
      </c>
      <c r="AV543" s="232">
        <f t="shared" si="245"/>
        <v>0.0399999999999991</v>
      </c>
      <c r="AW543" s="232">
        <f t="shared" si="246"/>
        <v>0.0399999999999991</v>
      </c>
      <c r="AX543" s="232">
        <f t="shared" si="247"/>
        <v>0.0399999999999991</v>
      </c>
      <c r="AY543" s="232">
        <f t="shared" si="248"/>
        <v>0.04</v>
      </c>
      <c r="AZ543" s="232">
        <f t="shared" si="249"/>
        <v>1.5</v>
      </c>
      <c r="BA543" s="266"/>
    </row>
    <row r="544" spans="1:53">
      <c r="A544" s="269"/>
      <c r="C544" s="19">
        <v>421</v>
      </c>
      <c r="D544" s="86">
        <f ca="1" t="shared" si="273"/>
        <v>258.704360308625</v>
      </c>
      <c r="E544" s="251">
        <f ca="1" t="shared" si="250"/>
        <v>0.353038620574359</v>
      </c>
      <c r="F544" s="269">
        <f ca="1" t="shared" si="266"/>
        <v>491.091636135348</v>
      </c>
      <c r="G544" s="283">
        <f ca="1" t="shared" si="267"/>
        <v>173.374313796828</v>
      </c>
      <c r="H544" s="279">
        <f ca="1" t="shared" si="268"/>
        <v>0.212657991795282</v>
      </c>
      <c r="I544" s="269">
        <f ca="1">SUM($J$125:J544)/SUM($H$125:H544)</f>
        <v>0.485868549581717</v>
      </c>
      <c r="J544" s="284">
        <f t="shared" si="274"/>
        <v>0.0578913787532116</v>
      </c>
      <c r="K544" s="19">
        <f t="shared" si="276"/>
        <v>43000</v>
      </c>
      <c r="L544" s="269">
        <f t="shared" si="269"/>
        <v>3.14999999999996</v>
      </c>
      <c r="M544" s="226">
        <f ca="1" t="shared" si="270"/>
        <v>405.504</v>
      </c>
      <c r="N544" s="280">
        <f ca="1" t="shared" si="275"/>
        <v>0.154766613042057</v>
      </c>
      <c r="O544" s="226">
        <f t="shared" si="280"/>
        <v>211.2</v>
      </c>
      <c r="P544" s="19">
        <f ca="1" t="shared" si="244"/>
        <v>10.2</v>
      </c>
      <c r="Q544" s="226">
        <f ca="1" t="shared" si="279"/>
        <v>1.92</v>
      </c>
      <c r="R544" s="269">
        <f ca="1" t="shared" si="251"/>
        <v>0.860466892637274</v>
      </c>
      <c r="S544" s="266">
        <f ca="1" t="shared" si="252"/>
        <v>80.8364630375216</v>
      </c>
      <c r="T544" s="226">
        <f ca="1">(1+OFFSET('玩法产出(新)'!$C$18,MATCH(X544,'玩法产出(新)'!$B$19:$B$25,0),1)*(1-V544)+OFFSET('玩法产出(新)'!$C$18,1+MATCH(X544,'玩法产出(新)'!$B$19:$B$25,0),1)*(V544))^AA544*(1+OFFSET('玩法产出(新)'!$C$18,MATCH(X544,'玩法产出(新)'!$B$19:$B$25,0),3)*(1-V544)+OFFSET('玩法产出(新)'!$C$18,1+MATCH(X544,'玩法产出(新)'!$B$19:$B$25,0),3)*(V544))^AB544*(1+OFFSET('玩法产出(新)'!$C$18,MATCH(X544,'玩法产出(新)'!$B$19:$B$25,0),4)*(1-V544)+OFFSET('玩法产出(新)'!$C$18,1+MATCH(X544,'玩法产出(新)'!$B$19:$B$25,0),4)*(V544))^AC544*(1+OFFSET('玩法产出(新)'!$C$18,MATCH(X544,'玩法产出(新)'!$B$19:$B$25,0),5)*(1+V544)+OFFSET('玩法产出(新)'!$C$18,1+MATCH(X544,'玩法产出(新)'!$B$19:$B$25,5),1)*(V544))^AD544*(1+OFFSET('玩法产出(新)'!$C$18,MATCH(X544,'玩法产出(新)'!$B$19:$B$25,0),6)*(1+V544)+OFFSET('玩法产出(新)'!$C$18,1+MATCH(X544,'玩法产出(新)'!$B$19:$B$25,0),6)*(V544))^AE544</f>
        <v>237.290667905501</v>
      </c>
      <c r="U544" s="226">
        <f ca="1" t="shared" si="271"/>
        <v>0.140380628779091</v>
      </c>
      <c r="V544" s="226">
        <f ca="1">COUNTIF($X$124:$X544,X544)/(COUNTIF($X$124:$X$723,X544)+1)</f>
        <v>0.628865979381443</v>
      </c>
      <c r="W544" s="19">
        <v>30</v>
      </c>
      <c r="X544" s="19" t="s">
        <v>326</v>
      </c>
      <c r="Y544" s="19">
        <f t="shared" si="277"/>
        <v>43260</v>
      </c>
      <c r="Z544" s="19">
        <f ca="1" t="shared" si="253"/>
        <v>0.0569888621134026</v>
      </c>
      <c r="AA544" s="282">
        <f ca="1" t="shared" si="254"/>
        <v>0.307790625000003</v>
      </c>
      <c r="AB544" s="282">
        <f ca="1" t="shared" si="255"/>
        <v>18</v>
      </c>
      <c r="AC544" s="282">
        <f ca="1" t="shared" si="256"/>
        <v>8.90835</v>
      </c>
      <c r="AD544" s="282">
        <f ca="1" t="shared" si="257"/>
        <v>2.2270875</v>
      </c>
      <c r="AE544" s="282">
        <f ca="1" t="shared" si="258"/>
        <v>0.556771875</v>
      </c>
      <c r="AF544" s="19" t="str">
        <f t="shared" si="259"/>
        <v>彩4</v>
      </c>
      <c r="AG544" s="19">
        <f>IFERROR(_xlfn.XLOOKUP(C544+1,[2]基因升级!$E$141:$E$500,[2]基因升级!$D$141:$D$500)-1,AG543)</f>
        <v>110</v>
      </c>
      <c r="AH544" s="19">
        <v>8</v>
      </c>
      <c r="AI544" s="19">
        <f t="shared" si="260"/>
        <v>10.5142500606751</v>
      </c>
      <c r="AJ544" s="19">
        <f t="shared" si="272"/>
        <v>0</v>
      </c>
      <c r="AK544" s="269">
        <v>2.0368</v>
      </c>
      <c r="AL544" s="287">
        <f t="shared" si="281"/>
        <v>18.4799999999998</v>
      </c>
      <c r="AM544" s="287">
        <f t="shared" si="282"/>
        <v>14.8799999999999</v>
      </c>
      <c r="AN544" s="287">
        <f t="shared" si="243"/>
        <v>11.2799999999999</v>
      </c>
      <c r="AO544" s="287">
        <f t="shared" si="278"/>
        <v>7.68</v>
      </c>
      <c r="AP544" s="287">
        <f t="shared" si="283"/>
        <v>1.9</v>
      </c>
      <c r="AQ544" s="19">
        <f t="shared" si="261"/>
        <v>3.49150132848853</v>
      </c>
      <c r="AR544" s="19">
        <f t="shared" si="262"/>
        <v>2.73672154968259</v>
      </c>
      <c r="AS544" s="19">
        <f t="shared" si="263"/>
        <v>2.14510725783952</v>
      </c>
      <c r="AT544" s="19">
        <f t="shared" si="264"/>
        <v>1.68138594449606</v>
      </c>
      <c r="AU544" s="19">
        <f t="shared" si="265"/>
        <v>1.13717990733817</v>
      </c>
      <c r="AV544" s="232">
        <f t="shared" si="245"/>
        <v>0.0399999999999991</v>
      </c>
      <c r="AW544" s="232">
        <f t="shared" si="246"/>
        <v>0.0399999999999991</v>
      </c>
      <c r="AX544" s="232">
        <f t="shared" si="247"/>
        <v>0.0399999999999991</v>
      </c>
      <c r="AY544" s="232">
        <f t="shared" si="248"/>
        <v>0.04</v>
      </c>
      <c r="AZ544" s="232">
        <f t="shared" si="249"/>
        <v>0.4</v>
      </c>
    </row>
    <row r="545" spans="1:52">
      <c r="A545" s="269"/>
      <c r="C545" s="19">
        <v>422</v>
      </c>
      <c r="D545" s="86">
        <f ca="1" t="shared" si="273"/>
        <v>259.055810833657</v>
      </c>
      <c r="E545" s="251">
        <f ca="1" t="shared" si="250"/>
        <v>0.351450525031628</v>
      </c>
      <c r="F545" s="269">
        <f ca="1" t="shared" si="266"/>
        <v>493.910916111107</v>
      </c>
      <c r="G545" s="283">
        <f ca="1" t="shared" si="267"/>
        <v>173.585250786101</v>
      </c>
      <c r="H545" s="279">
        <f ca="1" t="shared" si="268"/>
        <v>0.210936989272625</v>
      </c>
      <c r="I545" s="269">
        <f ca="1">SUM($J$125:J545)/SUM($H$125:H545)</f>
        <v>0.485595215374436</v>
      </c>
      <c r="J545" s="284">
        <f t="shared" si="274"/>
        <v>0.0577742041845113</v>
      </c>
      <c r="K545" s="19">
        <f t="shared" si="276"/>
        <v>43100</v>
      </c>
      <c r="L545" s="269">
        <f t="shared" si="269"/>
        <v>3.15499999999996</v>
      </c>
      <c r="M545" s="226">
        <f ca="1" t="shared" si="270"/>
        <v>409.728</v>
      </c>
      <c r="N545" s="280">
        <f ca="1" t="shared" si="275"/>
        <v>0.153162785088099</v>
      </c>
      <c r="O545" s="226">
        <f t="shared" si="280"/>
        <v>211.2</v>
      </c>
      <c r="P545" s="19">
        <f ca="1" t="shared" si="244"/>
        <v>10.4</v>
      </c>
      <c r="Q545" s="226">
        <f ca="1" t="shared" si="279"/>
        <v>1.94</v>
      </c>
      <c r="R545" s="269">
        <f ca="1" t="shared" si="251"/>
        <v>0.861962594464702</v>
      </c>
      <c r="S545" s="266">
        <f ca="1" t="shared" si="252"/>
        <v>80.9769765732806</v>
      </c>
      <c r="T545" s="226">
        <f ca="1">(1+OFFSET('玩法产出(新)'!$C$18,MATCH(X545,'玩法产出(新)'!$B$19:$B$25,0),1)*(1-V545)+OFFSET('玩法产出(新)'!$C$18,1+MATCH(X545,'玩法产出(新)'!$B$19:$B$25,0),1)*(V545))^AA545*(1+OFFSET('玩法产出(新)'!$C$18,MATCH(X545,'玩法产出(新)'!$B$19:$B$25,0),3)*(1-V545)+OFFSET('玩法产出(新)'!$C$18,1+MATCH(X545,'玩法产出(新)'!$B$19:$B$25,0),3)*(V545))^AB545*(1+OFFSET('玩法产出(新)'!$C$18,MATCH(X545,'玩法产出(新)'!$B$19:$B$25,0),4)*(1-V545)+OFFSET('玩法产出(新)'!$C$18,1+MATCH(X545,'玩法产出(新)'!$B$19:$B$25,0),4)*(V545))^AC545*(1+OFFSET('玩法产出(新)'!$C$18,MATCH(X545,'玩法产出(新)'!$B$19:$B$25,0),5)*(1+V545)+OFFSET('玩法产出(新)'!$C$18,1+MATCH(X545,'玩法产出(新)'!$B$19:$B$25,5),1)*(V545))^AD545*(1+OFFSET('玩法产出(新)'!$C$18,MATCH(X545,'玩法产出(新)'!$B$19:$B$25,0),6)*(1+V545)+OFFSET('玩法产出(新)'!$C$18,1+MATCH(X545,'玩法产出(新)'!$B$19:$B$25,0),6)*(V545))^AE545</f>
        <v>239.557337316818</v>
      </c>
      <c r="U545" s="226">
        <f ca="1" t="shared" si="271"/>
        <v>0.140513535759017</v>
      </c>
      <c r="V545" s="226">
        <f ca="1">COUNTIF($X$124:$X545,X545)/(COUNTIF($X$124:$X$723,X545)+1)</f>
        <v>0.630927835051546</v>
      </c>
      <c r="W545" s="19">
        <v>30</v>
      </c>
      <c r="X545" s="19" t="s">
        <v>326</v>
      </c>
      <c r="Y545" s="19">
        <f t="shared" si="277"/>
        <v>43360</v>
      </c>
      <c r="Z545" s="19">
        <f ca="1" t="shared" si="253"/>
        <v>0.0519451175257734</v>
      </c>
      <c r="AA545" s="282">
        <f ca="1" t="shared" si="254"/>
        <v>0.280425000000001</v>
      </c>
      <c r="AB545" s="282">
        <f ca="1" t="shared" si="255"/>
        <v>18</v>
      </c>
      <c r="AC545" s="282">
        <f ca="1" t="shared" si="256"/>
        <v>8.9292</v>
      </c>
      <c r="AD545" s="282">
        <f ca="1" t="shared" si="257"/>
        <v>2.2323</v>
      </c>
      <c r="AE545" s="282">
        <f ca="1" t="shared" si="258"/>
        <v>0.558075</v>
      </c>
      <c r="AF545" s="19" t="str">
        <f t="shared" si="259"/>
        <v>彩4</v>
      </c>
      <c r="AG545" s="19">
        <f>IFERROR(_xlfn.XLOOKUP(C545+1,[2]基因升级!$E$141:$E$500,[2]基因升级!$D$141:$D$500)-1,AG544)</f>
        <v>110</v>
      </c>
      <c r="AH545" s="19">
        <v>8</v>
      </c>
      <c r="AI545" s="19">
        <f t="shared" si="260"/>
        <v>10.5142500606751</v>
      </c>
      <c r="AJ545" s="19">
        <f t="shared" si="272"/>
        <v>0</v>
      </c>
      <c r="AK545" s="269">
        <v>2.0368</v>
      </c>
      <c r="AL545" s="287">
        <f t="shared" si="281"/>
        <v>18.5199999999998</v>
      </c>
      <c r="AM545" s="287">
        <f t="shared" si="282"/>
        <v>14.9199999999999</v>
      </c>
      <c r="AN545" s="287">
        <f t="shared" si="243"/>
        <v>11.3199999999999</v>
      </c>
      <c r="AO545" s="287">
        <f t="shared" si="278"/>
        <v>7.72</v>
      </c>
      <c r="AP545" s="287">
        <f t="shared" si="283"/>
        <v>2.3</v>
      </c>
      <c r="AQ545" s="19">
        <f t="shared" si="261"/>
        <v>3.50096333688851</v>
      </c>
      <c r="AR545" s="19">
        <f t="shared" si="262"/>
        <v>2.74413809627824</v>
      </c>
      <c r="AS545" s="19">
        <f t="shared" si="263"/>
        <v>2.15092052296044</v>
      </c>
      <c r="AT545" s="19">
        <f t="shared" si="264"/>
        <v>1.68594251957184</v>
      </c>
      <c r="AU545" s="19">
        <f t="shared" si="265"/>
        <v>1.16837616483443</v>
      </c>
      <c r="AV545" s="232">
        <f t="shared" si="245"/>
        <v>0.0399999999999991</v>
      </c>
      <c r="AW545" s="232">
        <f t="shared" si="246"/>
        <v>0.0399999999999991</v>
      </c>
      <c r="AX545" s="232">
        <f t="shared" si="247"/>
        <v>0.0399999999999991</v>
      </c>
      <c r="AY545" s="232">
        <f t="shared" si="248"/>
        <v>0.04</v>
      </c>
      <c r="AZ545" s="232">
        <f t="shared" si="249"/>
        <v>0.4</v>
      </c>
    </row>
    <row r="546" spans="1:52">
      <c r="A546" s="269"/>
      <c r="C546" s="19">
        <v>423</v>
      </c>
      <c r="D546" s="86">
        <f ca="1" t="shared" si="273"/>
        <v>259.4057065786</v>
      </c>
      <c r="E546" s="251">
        <f ca="1" t="shared" si="250"/>
        <v>0.349895744942693</v>
      </c>
      <c r="F546" s="269">
        <f ca="1" t="shared" si="266"/>
        <v>496.703668658974</v>
      </c>
      <c r="G546" s="283">
        <f ca="1" t="shared" si="267"/>
        <v>173.7945001612</v>
      </c>
      <c r="H546" s="279">
        <f ca="1" t="shared" si="268"/>
        <v>0.20924937509912</v>
      </c>
      <c r="I546" s="269">
        <f ca="1">SUM($J$125:J546)/SUM($H$125:H546)</f>
        <v>0.485326873169605</v>
      </c>
      <c r="J546" s="284">
        <f t="shared" si="274"/>
        <v>0.0576575180557484</v>
      </c>
      <c r="K546" s="19">
        <f t="shared" si="276"/>
        <v>43200</v>
      </c>
      <c r="L546" s="269">
        <f t="shared" si="269"/>
        <v>3.15999999999996</v>
      </c>
      <c r="M546" s="226">
        <f ca="1" t="shared" si="270"/>
        <v>413.952</v>
      </c>
      <c r="N546" s="280">
        <f ca="1" t="shared" si="275"/>
        <v>0.151591857043357</v>
      </c>
      <c r="O546" s="226">
        <f t="shared" si="280"/>
        <v>211.2</v>
      </c>
      <c r="P546" s="19">
        <f ca="1" t="shared" si="244"/>
        <v>10.6</v>
      </c>
      <c r="Q546" s="226">
        <f ca="1" t="shared" si="279"/>
        <v>1.96</v>
      </c>
      <c r="R546" s="269">
        <f ca="1" t="shared" si="251"/>
        <v>0.863459710249739</v>
      </c>
      <c r="S546" s="266">
        <f ca="1" t="shared" si="252"/>
        <v>81.1176229431242</v>
      </c>
      <c r="T546" s="226">
        <f ca="1">(1+OFFSET('玩法产出(新)'!$C$18,MATCH(X546,'玩法产出(新)'!$B$19:$B$25,0),1)*(1-V546)+OFFSET('玩法产出(新)'!$C$18,1+MATCH(X546,'玩法产出(新)'!$B$19:$B$25,0),1)*(V546))^AA546*(1+OFFSET('玩法产出(新)'!$C$18,MATCH(X546,'玩法产出(新)'!$B$19:$B$25,0),3)*(1-V546)+OFFSET('玩法产出(新)'!$C$18,1+MATCH(X546,'玩法产出(新)'!$B$19:$B$25,0),3)*(V546))^AB546*(1+OFFSET('玩法产出(新)'!$C$18,MATCH(X546,'玩法产出(新)'!$B$19:$B$25,0),4)*(1-V546)+OFFSET('玩法产出(新)'!$C$18,1+MATCH(X546,'玩法产出(新)'!$B$19:$B$25,0),4)*(V546))^AC546*(1+OFFSET('玩法产出(新)'!$C$18,MATCH(X546,'玩法产出(新)'!$B$19:$B$25,0),5)*(1+V546)+OFFSET('玩法产出(新)'!$C$18,1+MATCH(X546,'玩法产出(新)'!$B$19:$B$25,5),1)*(V546))^AD546*(1+OFFSET('玩法产出(新)'!$C$18,MATCH(X546,'玩法产出(新)'!$B$19:$B$25,0),6)*(1+V546)+OFFSET('玩法产出(新)'!$C$18,1+MATCH(X546,'玩法产出(新)'!$B$19:$B$25,0),6)*(V546))^AE546</f>
        <v>241.847832180301</v>
      </c>
      <c r="U546" s="226">
        <f ca="1" t="shared" si="271"/>
        <v>0.140646369843587</v>
      </c>
      <c r="V546" s="226">
        <f ca="1">COUNTIF($X$124:$X546,X546)/(COUNTIF($X$124:$X$723,X546)+1)</f>
        <v>0.632989690721649</v>
      </c>
      <c r="W546" s="19">
        <v>30</v>
      </c>
      <c r="X546" s="19" t="s">
        <v>326</v>
      </c>
      <c r="Y546" s="19">
        <f t="shared" si="277"/>
        <v>43460</v>
      </c>
      <c r="Z546" s="19">
        <f ca="1" t="shared" si="253"/>
        <v>0.0468968590206191</v>
      </c>
      <c r="AA546" s="282">
        <f ca="1" t="shared" si="254"/>
        <v>0.253059375000003</v>
      </c>
      <c r="AB546" s="282">
        <f ca="1" t="shared" si="255"/>
        <v>18</v>
      </c>
      <c r="AC546" s="282">
        <f ca="1" t="shared" si="256"/>
        <v>8.95005</v>
      </c>
      <c r="AD546" s="282">
        <f ca="1" t="shared" si="257"/>
        <v>2.2375125</v>
      </c>
      <c r="AE546" s="282">
        <f ca="1" t="shared" si="258"/>
        <v>0.559378125</v>
      </c>
      <c r="AF546" s="19" t="str">
        <f t="shared" si="259"/>
        <v>彩4</v>
      </c>
      <c r="AG546" s="19">
        <f>IFERROR(_xlfn.XLOOKUP(C546+1,[2]基因升级!$E$141:$E$500,[2]基因升级!$D$141:$D$500)-1,AG545)</f>
        <v>111</v>
      </c>
      <c r="AH546" s="19">
        <v>8</v>
      </c>
      <c r="AI546" s="19">
        <f t="shared" si="260"/>
        <v>10.5142500606751</v>
      </c>
      <c r="AJ546" s="19">
        <f t="shared" si="272"/>
        <v>0</v>
      </c>
      <c r="AK546" s="269">
        <v>2.0368</v>
      </c>
      <c r="AL546" s="287">
        <f t="shared" si="281"/>
        <v>18.5599999999998</v>
      </c>
      <c r="AM546" s="287">
        <f t="shared" si="282"/>
        <v>14.9599999999999</v>
      </c>
      <c r="AN546" s="287">
        <f t="shared" si="243"/>
        <v>11.3599999999999</v>
      </c>
      <c r="AO546" s="287">
        <f t="shared" si="278"/>
        <v>7.76</v>
      </c>
      <c r="AP546" s="287">
        <f t="shared" si="283"/>
        <v>2.6</v>
      </c>
      <c r="AQ546" s="19">
        <f t="shared" si="261"/>
        <v>3.51045098743912</v>
      </c>
      <c r="AR546" s="19">
        <f t="shared" si="262"/>
        <v>2.75157474179971</v>
      </c>
      <c r="AS546" s="19">
        <f t="shared" si="263"/>
        <v>2.1567495420961</v>
      </c>
      <c r="AT546" s="19">
        <f t="shared" si="264"/>
        <v>1.69051144301801</v>
      </c>
      <c r="AU546" s="19">
        <f t="shared" si="265"/>
        <v>1.19233370823059</v>
      </c>
      <c r="AV546" s="232">
        <f t="shared" si="245"/>
        <v>0.0399999999999991</v>
      </c>
      <c r="AW546" s="232">
        <f t="shared" si="246"/>
        <v>0.0399999999999991</v>
      </c>
      <c r="AX546" s="232">
        <f t="shared" si="247"/>
        <v>0.0399999999999991</v>
      </c>
      <c r="AY546" s="232">
        <f t="shared" si="248"/>
        <v>0.04</v>
      </c>
      <c r="AZ546" s="232">
        <f t="shared" si="249"/>
        <v>0.3</v>
      </c>
    </row>
    <row r="547" spans="1:52">
      <c r="A547" s="269"/>
      <c r="C547" s="19">
        <v>424</v>
      </c>
      <c r="D547" s="86">
        <f ca="1" t="shared" si="273"/>
        <v>259.754079853802</v>
      </c>
      <c r="E547" s="251">
        <f ca="1" t="shared" si="250"/>
        <v>0.348373275202592</v>
      </c>
      <c r="F547" s="269">
        <f ca="1" t="shared" si="266"/>
        <v>499.470271375134</v>
      </c>
      <c r="G547" s="283">
        <f ca="1" t="shared" si="267"/>
        <v>174.002094305283</v>
      </c>
      <c r="H547" s="279">
        <f ca="1" t="shared" si="268"/>
        <v>0.207594144082719</v>
      </c>
      <c r="I547" s="269">
        <f ca="1">SUM($J$125:J547)/SUM($H$125:H547)</f>
        <v>0.485063402756124</v>
      </c>
      <c r="J547" s="284">
        <f t="shared" si="274"/>
        <v>0.0575413172376074</v>
      </c>
      <c r="K547" s="19">
        <f t="shared" si="276"/>
        <v>43300</v>
      </c>
      <c r="L547" s="269">
        <f t="shared" si="269"/>
        <v>3.16499999999996</v>
      </c>
      <c r="M547" s="226">
        <f ca="1" t="shared" si="270"/>
        <v>418.176</v>
      </c>
      <c r="N547" s="280">
        <f ca="1" t="shared" si="275"/>
        <v>0.15005282684514</v>
      </c>
      <c r="O547" s="226">
        <f t="shared" si="280"/>
        <v>211.2</v>
      </c>
      <c r="P547" s="19">
        <f ca="1" t="shared" si="244"/>
        <v>10.8</v>
      </c>
      <c r="Q547" s="226">
        <f ca="1" t="shared" si="279"/>
        <v>1.98</v>
      </c>
      <c r="R547" s="269">
        <f ca="1" t="shared" si="251"/>
        <v>0.864958239217374</v>
      </c>
      <c r="S547" s="266">
        <f ca="1" t="shared" si="252"/>
        <v>81.258402074244</v>
      </c>
      <c r="T547" s="226">
        <f ca="1">(1+OFFSET('玩法产出(新)'!$C$18,MATCH(X547,'玩法产出(新)'!$B$19:$B$25,0),1)*(1-V547)+OFFSET('玩法产出(新)'!$C$18,1+MATCH(X547,'玩法产出(新)'!$B$19:$B$25,0),1)*(V547))^AA547*(1+OFFSET('玩法产出(新)'!$C$18,MATCH(X547,'玩法产出(新)'!$B$19:$B$25,0),3)*(1-V547)+OFFSET('玩法产出(新)'!$C$18,1+MATCH(X547,'玩法产出(新)'!$B$19:$B$25,0),3)*(V547))^AB547*(1+OFFSET('玩法产出(新)'!$C$18,MATCH(X547,'玩法产出(新)'!$B$19:$B$25,0),4)*(1-V547)+OFFSET('玩法产出(新)'!$C$18,1+MATCH(X547,'玩法产出(新)'!$B$19:$B$25,0),4)*(V547))^AC547*(1+OFFSET('玩法产出(新)'!$C$18,MATCH(X547,'玩法产出(新)'!$B$19:$B$25,0),5)*(1+V547)+OFFSET('玩法产出(新)'!$C$18,1+MATCH(X547,'玩法产出(新)'!$B$19:$B$25,5),1)*(V547))^AD547*(1+OFFSET('玩法产出(新)'!$C$18,MATCH(X547,'玩法产出(新)'!$B$19:$B$25,0),6)*(1+V547)+OFFSET('玩法产出(新)'!$C$18,1+MATCH(X547,'玩法产出(新)'!$B$19:$B$25,0),6)*(V547))^AE547</f>
        <v>244.162420465079</v>
      </c>
      <c r="U547" s="226">
        <f ca="1" t="shared" si="271"/>
        <v>0.140779131119844</v>
      </c>
      <c r="V547" s="226">
        <f ca="1">COUNTIF($X$124:$X547,X547)/(COUNTIF($X$124:$X$723,X547)+1)</f>
        <v>0.635051546391753</v>
      </c>
      <c r="W547" s="19">
        <v>30</v>
      </c>
      <c r="X547" s="19" t="s">
        <v>326</v>
      </c>
      <c r="Y547" s="19">
        <f t="shared" si="277"/>
        <v>43560</v>
      </c>
      <c r="Z547" s="19">
        <f ca="1" t="shared" si="253"/>
        <v>0.0418440865979377</v>
      </c>
      <c r="AA547" s="282">
        <f ca="1" t="shared" si="254"/>
        <v>0.225693749999998</v>
      </c>
      <c r="AB547" s="282">
        <f ca="1" t="shared" si="255"/>
        <v>18</v>
      </c>
      <c r="AC547" s="282">
        <f ca="1" t="shared" si="256"/>
        <v>8.9709</v>
      </c>
      <c r="AD547" s="282">
        <f ca="1" t="shared" si="257"/>
        <v>2.242725</v>
      </c>
      <c r="AE547" s="282">
        <f ca="1" t="shared" si="258"/>
        <v>0.56068125</v>
      </c>
      <c r="AF547" s="19" t="str">
        <f t="shared" si="259"/>
        <v>彩4</v>
      </c>
      <c r="AG547" s="19">
        <f>IFERROR(_xlfn.XLOOKUP(C547+1,[2]基因升级!$E$141:$E$500,[2]基因升级!$D$141:$D$500)-1,AG546)</f>
        <v>111</v>
      </c>
      <c r="AH547" s="19">
        <v>8</v>
      </c>
      <c r="AI547" s="19">
        <f t="shared" si="260"/>
        <v>10.5142500606751</v>
      </c>
      <c r="AJ547" s="19">
        <f t="shared" si="272"/>
        <v>0</v>
      </c>
      <c r="AK547" s="269">
        <v>2.0368</v>
      </c>
      <c r="AL547" s="287">
        <f t="shared" si="281"/>
        <v>18.5999999999998</v>
      </c>
      <c r="AM547" s="287">
        <f t="shared" si="282"/>
        <v>14.9999999999999</v>
      </c>
      <c r="AN547" s="287">
        <f t="shared" si="243"/>
        <v>11.3999999999999</v>
      </c>
      <c r="AO547" s="287">
        <f t="shared" si="278"/>
        <v>7.8</v>
      </c>
      <c r="AP547" s="287">
        <f t="shared" si="283"/>
        <v>2.9</v>
      </c>
      <c r="AQ547" s="19">
        <f t="shared" si="261"/>
        <v>3.51996434963087</v>
      </c>
      <c r="AR547" s="19">
        <f t="shared" si="262"/>
        <v>2.75903154071531</v>
      </c>
      <c r="AS547" s="19">
        <f t="shared" si="263"/>
        <v>2.16259435794007</v>
      </c>
      <c r="AT547" s="19">
        <f t="shared" si="264"/>
        <v>1.69509274829881</v>
      </c>
      <c r="AU547" s="19">
        <f t="shared" si="265"/>
        <v>1.21678250085184</v>
      </c>
      <c r="AV547" s="232">
        <f t="shared" si="245"/>
        <v>0.0399999999999991</v>
      </c>
      <c r="AW547" s="232">
        <f t="shared" si="246"/>
        <v>0.0399999999999991</v>
      </c>
      <c r="AX547" s="232">
        <f t="shared" si="247"/>
        <v>0.0399999999999991</v>
      </c>
      <c r="AY547" s="232">
        <f t="shared" si="248"/>
        <v>0.04</v>
      </c>
      <c r="AZ547" s="232">
        <f t="shared" si="249"/>
        <v>0.3</v>
      </c>
    </row>
    <row r="548" spans="1:52">
      <c r="A548" s="269"/>
      <c r="C548" s="19">
        <v>425</v>
      </c>
      <c r="D548" s="86">
        <f ca="1" t="shared" si="273"/>
        <v>260.100962004821</v>
      </c>
      <c r="E548" s="251">
        <f ca="1" t="shared" si="250"/>
        <v>0.346882151019195</v>
      </c>
      <c r="F548" s="269">
        <f ca="1" t="shared" si="266"/>
        <v>502.211094242746</v>
      </c>
      <c r="G548" s="283">
        <f ca="1" t="shared" si="267"/>
        <v>174.208064636627</v>
      </c>
      <c r="H548" s="279">
        <f ca="1" t="shared" si="268"/>
        <v>0.205970331344361</v>
      </c>
      <c r="I548" s="269">
        <f ca="1">SUM($J$125:J548)/SUM($H$125:H548)</f>
        <v>0.484804687867456</v>
      </c>
      <c r="J548" s="284">
        <f t="shared" si="274"/>
        <v>0.0574255986279013</v>
      </c>
      <c r="K548" s="19">
        <f t="shared" si="276"/>
        <v>43400</v>
      </c>
      <c r="L548" s="269">
        <f t="shared" si="269"/>
        <v>3.16999999999995</v>
      </c>
      <c r="M548" s="226">
        <f ca="1" t="shared" si="270"/>
        <v>422.4</v>
      </c>
      <c r="N548" s="280">
        <f ca="1" t="shared" si="275"/>
        <v>0.148544732716488</v>
      </c>
      <c r="O548" s="226">
        <f t="shared" si="280"/>
        <v>211.2</v>
      </c>
      <c r="P548" s="19">
        <f ca="1" t="shared" si="244"/>
        <v>11</v>
      </c>
      <c r="Q548" s="226">
        <f ca="1" t="shared" si="279"/>
        <v>2</v>
      </c>
      <c r="R548" s="269">
        <f ca="1" t="shared" si="251"/>
        <v>0.866458180593522</v>
      </c>
      <c r="S548" s="266">
        <f ca="1" t="shared" si="252"/>
        <v>81.3993138939188</v>
      </c>
      <c r="T548" s="226">
        <f ca="1">(1+OFFSET('玩法产出(新)'!$C$18,MATCH(X548,'玩法产出(新)'!$B$19:$B$25,0),1)*(1-V548)+OFFSET('玩法产出(新)'!$C$18,1+MATCH(X548,'玩法产出(新)'!$B$19:$B$25,0),1)*(V548))^AA548*(1+OFFSET('玩法产出(新)'!$C$18,MATCH(X548,'玩法产出(新)'!$B$19:$B$25,0),3)*(1-V548)+OFFSET('玩法产出(新)'!$C$18,1+MATCH(X548,'玩法产出(新)'!$B$19:$B$25,0),3)*(V548))^AB548*(1+OFFSET('玩法产出(新)'!$C$18,MATCH(X548,'玩法产出(新)'!$B$19:$B$25,0),4)*(1-V548)+OFFSET('玩法产出(新)'!$C$18,1+MATCH(X548,'玩法产出(新)'!$B$19:$B$25,0),4)*(V548))^AC548*(1+OFFSET('玩法产出(新)'!$C$18,MATCH(X548,'玩法产出(新)'!$B$19:$B$25,0),5)*(1+V548)+OFFSET('玩法产出(新)'!$C$18,1+MATCH(X548,'玩法产出(新)'!$B$19:$B$25,5),1)*(V548))^AD548*(1+OFFSET('玩法产出(新)'!$C$18,MATCH(X548,'玩法产出(新)'!$B$19:$B$25,0),6)*(1+V548)+OFFSET('玩法产出(新)'!$C$18,1+MATCH(X548,'玩法产出(新)'!$B$19:$B$25,0),6)*(V548))^AE548</f>
        <v>246.501373323267</v>
      </c>
      <c r="U548" s="226">
        <f ca="1" t="shared" si="271"/>
        <v>0.140911819674806</v>
      </c>
      <c r="V548" s="226">
        <f ca="1">COUNTIF($X$124:$X548,X548)/(COUNTIF($X$124:$X$723,X548)+1)</f>
        <v>0.637113402061856</v>
      </c>
      <c r="W548" s="19">
        <v>30</v>
      </c>
      <c r="X548" s="19" t="s">
        <v>326</v>
      </c>
      <c r="Y548" s="19">
        <f t="shared" si="277"/>
        <v>43660</v>
      </c>
      <c r="Z548" s="19">
        <f ca="1" t="shared" si="253"/>
        <v>0.0367868002577319</v>
      </c>
      <c r="AA548" s="282">
        <f ca="1" t="shared" si="254"/>
        <v>0.198328125</v>
      </c>
      <c r="AB548" s="282">
        <f ca="1" t="shared" si="255"/>
        <v>18</v>
      </c>
      <c r="AC548" s="282">
        <f ca="1" t="shared" si="256"/>
        <v>8.99175</v>
      </c>
      <c r="AD548" s="282">
        <f ca="1" t="shared" si="257"/>
        <v>2.2479375</v>
      </c>
      <c r="AE548" s="282">
        <f ca="1" t="shared" si="258"/>
        <v>0.561984375</v>
      </c>
      <c r="AF548" s="19" t="str">
        <f t="shared" si="259"/>
        <v>彩4</v>
      </c>
      <c r="AG548" s="19">
        <f>IFERROR(_xlfn.XLOOKUP(C548+1,[2]基因升级!$E$141:$E$500,[2]基因升级!$D$141:$D$500)-1,AG547)</f>
        <v>111</v>
      </c>
      <c r="AH548" s="19">
        <v>8</v>
      </c>
      <c r="AI548" s="19">
        <f t="shared" si="260"/>
        <v>10.5142500606751</v>
      </c>
      <c r="AJ548" s="19">
        <f t="shared" si="272"/>
        <v>0</v>
      </c>
      <c r="AK548" s="269">
        <v>2.0368</v>
      </c>
      <c r="AL548" s="287">
        <f t="shared" si="281"/>
        <v>18.6399999999998</v>
      </c>
      <c r="AM548" s="287">
        <f t="shared" si="282"/>
        <v>15.0399999999998</v>
      </c>
      <c r="AN548" s="287">
        <f t="shared" si="243"/>
        <v>11.4399999999999</v>
      </c>
      <c r="AO548" s="287">
        <f t="shared" si="278"/>
        <v>7.84</v>
      </c>
      <c r="AP548" s="287">
        <f t="shared" si="283"/>
        <v>3.2</v>
      </c>
      <c r="AQ548" s="19">
        <f t="shared" si="261"/>
        <v>3.5295034931426</v>
      </c>
      <c r="AR548" s="19">
        <f t="shared" si="262"/>
        <v>2.76650854764097</v>
      </c>
      <c r="AS548" s="19">
        <f t="shared" si="263"/>
        <v>2.16845501330159</v>
      </c>
      <c r="AT548" s="19">
        <f t="shared" si="264"/>
        <v>1.69968646896914</v>
      </c>
      <c r="AU548" s="19">
        <f t="shared" si="265"/>
        <v>1.24173261575938</v>
      </c>
      <c r="AV548" s="232">
        <f t="shared" si="245"/>
        <v>0.0399999999999991</v>
      </c>
      <c r="AW548" s="232">
        <f t="shared" si="246"/>
        <v>0.0399999999999991</v>
      </c>
      <c r="AX548" s="232">
        <f t="shared" si="247"/>
        <v>0.0399999999999991</v>
      </c>
      <c r="AY548" s="232">
        <f t="shared" si="248"/>
        <v>0.04</v>
      </c>
      <c r="AZ548" s="232">
        <f t="shared" si="249"/>
        <v>0.3</v>
      </c>
    </row>
    <row r="549" spans="1:52">
      <c r="A549" s="269"/>
      <c r="C549" s="19">
        <v>426</v>
      </c>
      <c r="D549" s="86">
        <f ca="1" t="shared" si="273"/>
        <v>260.44638345073</v>
      </c>
      <c r="E549" s="251">
        <f ca="1" t="shared" si="250"/>
        <v>0.345421445908547</v>
      </c>
      <c r="F549" s="269">
        <f ca="1" t="shared" si="266"/>
        <v>504.926499824558</v>
      </c>
      <c r="G549" s="283">
        <f ca="1" t="shared" si="267"/>
        <v>174.41244164694</v>
      </c>
      <c r="H549" s="279">
        <f ca="1" t="shared" si="268"/>
        <v>0.204377010313266</v>
      </c>
      <c r="I549" s="269">
        <f ca="1">SUM($J$125:J549)/SUM($H$125:H549)</f>
        <v>0.484550616015459</v>
      </c>
      <c r="J549" s="284">
        <f t="shared" si="274"/>
        <v>0.057310359151586</v>
      </c>
      <c r="K549" s="19">
        <f t="shared" si="276"/>
        <v>43500</v>
      </c>
      <c r="L549" s="269">
        <f t="shared" si="269"/>
        <v>3.17499999999995</v>
      </c>
      <c r="M549" s="226">
        <f ca="1" t="shared" si="270"/>
        <v>426.624</v>
      </c>
      <c r="N549" s="280">
        <f ca="1" t="shared" si="275"/>
        <v>0.147066651161666</v>
      </c>
      <c r="O549" s="226">
        <f t="shared" si="280"/>
        <v>211.2</v>
      </c>
      <c r="P549" s="19">
        <f ca="1" t="shared" si="244"/>
        <v>11.2</v>
      </c>
      <c r="Q549" s="226">
        <f ca="1" t="shared" si="279"/>
        <v>2.02</v>
      </c>
      <c r="R549" s="269">
        <f ca="1" t="shared" si="251"/>
        <v>0.867959533605022</v>
      </c>
      <c r="S549" s="266">
        <f ca="1" t="shared" si="252"/>
        <v>81.5403583295141</v>
      </c>
      <c r="T549" s="226">
        <f ca="1">(1+OFFSET('玩法产出(新)'!$C$18,MATCH(X549,'玩法产出(新)'!$B$19:$B$25,0),1)*(1-V549)+OFFSET('玩法产出(新)'!$C$18,1+MATCH(X549,'玩法产出(新)'!$B$19:$B$25,0),1)*(V549))^AA549*(1+OFFSET('玩法产出(新)'!$C$18,MATCH(X549,'玩法产出(新)'!$B$19:$B$25,0),3)*(1-V549)+OFFSET('玩法产出(新)'!$C$18,1+MATCH(X549,'玩法产出(新)'!$B$19:$B$25,0),3)*(V549))^AB549*(1+OFFSET('玩法产出(新)'!$C$18,MATCH(X549,'玩法产出(新)'!$B$19:$B$25,0),4)*(1-V549)+OFFSET('玩法产出(新)'!$C$18,1+MATCH(X549,'玩法产出(新)'!$B$19:$B$25,0),4)*(V549))^AC549*(1+OFFSET('玩法产出(新)'!$C$18,MATCH(X549,'玩法产出(新)'!$B$19:$B$25,0),5)*(1+V549)+OFFSET('玩法产出(新)'!$C$18,1+MATCH(X549,'玩法产出(新)'!$B$19:$B$25,5),1)*(V549))^AD549*(1+OFFSET('玩法产出(新)'!$C$18,MATCH(X549,'玩法产出(新)'!$B$19:$B$25,0),6)*(1+V549)+OFFSET('玩法产出(新)'!$C$18,1+MATCH(X549,'玩法产出(新)'!$B$19:$B$25,0),6)*(V549))^AE549</f>
        <v>248.864965129554</v>
      </c>
      <c r="U549" s="226">
        <f ca="1" t="shared" si="271"/>
        <v>0.141044435595295</v>
      </c>
      <c r="V549" s="226">
        <f ca="1">COUNTIF($X$124:$X549,X549)/(COUNTIF($X$124:$X$723,X549)+1)</f>
        <v>0.639175257731959</v>
      </c>
      <c r="W549" s="19">
        <v>30</v>
      </c>
      <c r="X549" s="19" t="s">
        <v>326</v>
      </c>
      <c r="Y549" s="19">
        <f t="shared" si="277"/>
        <v>43760</v>
      </c>
      <c r="Z549" s="19">
        <f ca="1" t="shared" si="253"/>
        <v>0.0317249999999997</v>
      </c>
      <c r="AA549" s="282">
        <f ca="1" t="shared" si="254"/>
        <v>0.170962499999998</v>
      </c>
      <c r="AB549" s="282">
        <f ca="1" t="shared" si="255"/>
        <v>18</v>
      </c>
      <c r="AC549" s="282">
        <f ca="1" t="shared" si="256"/>
        <v>9.0126</v>
      </c>
      <c r="AD549" s="282">
        <f ca="1" t="shared" si="257"/>
        <v>2.25315</v>
      </c>
      <c r="AE549" s="282">
        <f ca="1" t="shared" si="258"/>
        <v>0.5632875</v>
      </c>
      <c r="AF549" s="19" t="str">
        <f t="shared" si="259"/>
        <v>彩4</v>
      </c>
      <c r="AG549" s="19">
        <f>IFERROR(_xlfn.XLOOKUP(C549+1,[2]基因升级!$E$141:$E$500,[2]基因升级!$D$141:$D$500)-1,AG548)</f>
        <v>111</v>
      </c>
      <c r="AH549" s="19">
        <v>8</v>
      </c>
      <c r="AI549" s="19">
        <f t="shared" si="260"/>
        <v>10.5142500606751</v>
      </c>
      <c r="AJ549" s="19">
        <f t="shared" si="272"/>
        <v>0</v>
      </c>
      <c r="AK549" s="269">
        <v>2.0368</v>
      </c>
      <c r="AL549" s="287">
        <f t="shared" si="281"/>
        <v>18.6799999999998</v>
      </c>
      <c r="AM549" s="287">
        <f t="shared" si="282"/>
        <v>15.0799999999998</v>
      </c>
      <c r="AN549" s="287">
        <f t="shared" si="243"/>
        <v>11.4799999999999</v>
      </c>
      <c r="AO549" s="287">
        <f t="shared" si="278"/>
        <v>7.88</v>
      </c>
      <c r="AP549" s="287">
        <f t="shared" si="283"/>
        <v>3.4</v>
      </c>
      <c r="AQ549" s="19">
        <f t="shared" si="261"/>
        <v>3.53906848784198</v>
      </c>
      <c r="AR549" s="19">
        <f t="shared" si="262"/>
        <v>2.77400581734063</v>
      </c>
      <c r="AS549" s="19">
        <f t="shared" si="263"/>
        <v>2.17433155110596</v>
      </c>
      <c r="AT549" s="19">
        <f t="shared" si="264"/>
        <v>1.70429263867485</v>
      </c>
      <c r="AU549" s="19">
        <f t="shared" si="265"/>
        <v>1.25864960580211</v>
      </c>
      <c r="AV549" s="232">
        <f t="shared" si="245"/>
        <v>0.0399999999999991</v>
      </c>
      <c r="AW549" s="232">
        <f t="shared" si="246"/>
        <v>0.0399999999999991</v>
      </c>
      <c r="AX549" s="232">
        <f t="shared" si="247"/>
        <v>0.0399999999999991</v>
      </c>
      <c r="AY549" s="232">
        <f t="shared" si="248"/>
        <v>0.04</v>
      </c>
      <c r="AZ549" s="232">
        <f t="shared" si="249"/>
        <v>0.2</v>
      </c>
    </row>
    <row r="550" spans="1:52">
      <c r="A550" s="269"/>
      <c r="C550" s="19">
        <v>427</v>
      </c>
      <c r="D550" s="86">
        <f ca="1" t="shared" si="273"/>
        <v>260.790373720538</v>
      </c>
      <c r="E550" s="251">
        <f ca="1" t="shared" si="250"/>
        <v>0.343990269808234</v>
      </c>
      <c r="F550" s="269">
        <f ca="1" t="shared" si="266"/>
        <v>507.616843450614</v>
      </c>
      <c r="G550" s="283">
        <f ca="1" t="shared" si="267"/>
        <v>174.615254937781</v>
      </c>
      <c r="H550" s="279">
        <f ca="1" t="shared" si="268"/>
        <v>0.202813290840453</v>
      </c>
      <c r="I550" s="269">
        <f ca="1">SUM($J$125:J550)/SUM($H$125:H550)</f>
        <v>0.484301078332768</v>
      </c>
      <c r="J550" s="284">
        <f t="shared" si="274"/>
        <v>0.0571955957600778</v>
      </c>
      <c r="K550" s="19">
        <f t="shared" si="276"/>
        <v>43600</v>
      </c>
      <c r="L550" s="269">
        <f t="shared" si="269"/>
        <v>3.17999999999995</v>
      </c>
      <c r="M550" s="226">
        <f ca="1" t="shared" si="270"/>
        <v>430.848</v>
      </c>
      <c r="N550" s="280">
        <f ca="1" t="shared" si="275"/>
        <v>0.145617695080389</v>
      </c>
      <c r="O550" s="226">
        <f t="shared" si="280"/>
        <v>211.2</v>
      </c>
      <c r="P550" s="19">
        <f ca="1" t="shared" si="244"/>
        <v>11.4</v>
      </c>
      <c r="Q550" s="226">
        <f ca="1" t="shared" si="279"/>
        <v>2.04</v>
      </c>
      <c r="R550" s="269">
        <f ca="1" t="shared" si="251"/>
        <v>0.869462297479636</v>
      </c>
      <c r="S550" s="266">
        <f ca="1" t="shared" si="252"/>
        <v>81.6815353084819</v>
      </c>
      <c r="T550" s="226">
        <f ca="1">(1+OFFSET('玩法产出(新)'!$C$18,MATCH(X550,'玩法产出(新)'!$B$19:$B$25,0),1)*(1-V550)+OFFSET('玩法产出(新)'!$C$18,1+MATCH(X550,'玩法产出(新)'!$B$19:$B$25,0),1)*(V550))^AA550*(1+OFFSET('玩法产出(新)'!$C$18,MATCH(X550,'玩法产出(新)'!$B$19:$B$25,0),3)*(1-V550)+OFFSET('玩法产出(新)'!$C$18,1+MATCH(X550,'玩法产出(新)'!$B$19:$B$25,0),3)*(V550))^AB550*(1+OFFSET('玩法产出(新)'!$C$18,MATCH(X550,'玩法产出(新)'!$B$19:$B$25,0),4)*(1-V550)+OFFSET('玩法产出(新)'!$C$18,1+MATCH(X550,'玩法产出(新)'!$B$19:$B$25,0),4)*(V550))^AC550*(1+OFFSET('玩法产出(新)'!$C$18,MATCH(X550,'玩法产出(新)'!$B$19:$B$25,0),5)*(1+V550)+OFFSET('玩法产出(新)'!$C$18,1+MATCH(X550,'玩法产出(新)'!$B$19:$B$25,5),1)*(V550))^AD550*(1+OFFSET('玩法产出(新)'!$C$18,MATCH(X550,'玩法产出(新)'!$B$19:$B$25,0),6)*(1+V550)+OFFSET('玩法产出(新)'!$C$18,1+MATCH(X550,'玩法产出(新)'!$B$19:$B$25,0),6)*(V550))^AE550</f>
        <v>251.253473521289</v>
      </c>
      <c r="U550" s="226">
        <f ca="1" t="shared" si="271"/>
        <v>0.141176978967767</v>
      </c>
      <c r="V550" s="226">
        <f ca="1">COUNTIF($X$124:$X550,X550)/(COUNTIF($X$124:$X$723,X550)+1)</f>
        <v>0.641237113402062</v>
      </c>
      <c r="W550" s="19">
        <v>30</v>
      </c>
      <c r="X550" s="19" t="s">
        <v>326</v>
      </c>
      <c r="Y550" s="19">
        <f t="shared" si="277"/>
        <v>43860</v>
      </c>
      <c r="Z550" s="19">
        <f ca="1" t="shared" si="253"/>
        <v>0.0266586858247416</v>
      </c>
      <c r="AA550" s="282">
        <f ca="1" t="shared" si="254"/>
        <v>0.143596874999997</v>
      </c>
      <c r="AB550" s="282">
        <f ca="1" t="shared" si="255"/>
        <v>18</v>
      </c>
      <c r="AC550" s="282">
        <f ca="1" t="shared" si="256"/>
        <v>9.03345</v>
      </c>
      <c r="AD550" s="282">
        <f ca="1" t="shared" si="257"/>
        <v>2.2583625</v>
      </c>
      <c r="AE550" s="282">
        <f ca="1" t="shared" si="258"/>
        <v>0.564590625</v>
      </c>
      <c r="AF550" s="19" t="str">
        <f t="shared" si="259"/>
        <v>彩4</v>
      </c>
      <c r="AG550" s="19">
        <f>IFERROR(_xlfn.XLOOKUP(C550+1,[2]基因升级!$E$141:$E$500,[2]基因升级!$D$141:$D$500)-1,AG549)</f>
        <v>111</v>
      </c>
      <c r="AH550" s="19">
        <v>8</v>
      </c>
      <c r="AI550" s="19">
        <f t="shared" si="260"/>
        <v>10.5142500606751</v>
      </c>
      <c r="AJ550" s="19">
        <f t="shared" si="272"/>
        <v>0</v>
      </c>
      <c r="AK550" s="269">
        <v>2.0368</v>
      </c>
      <c r="AL550" s="287">
        <f t="shared" si="281"/>
        <v>18.7199999999998</v>
      </c>
      <c r="AM550" s="287">
        <f t="shared" si="282"/>
        <v>15.1199999999998</v>
      </c>
      <c r="AN550" s="287">
        <f t="shared" si="243"/>
        <v>11.5199999999999</v>
      </c>
      <c r="AO550" s="287">
        <f t="shared" si="278"/>
        <v>7.92</v>
      </c>
      <c r="AP550" s="287">
        <f t="shared" si="283"/>
        <v>3.6</v>
      </c>
      <c r="AQ550" s="19">
        <f t="shared" si="261"/>
        <v>3.54865940378604</v>
      </c>
      <c r="AR550" s="19">
        <f t="shared" si="262"/>
        <v>2.78152340472664</v>
      </c>
      <c r="AS550" s="19">
        <f t="shared" si="263"/>
        <v>2.18022401439476</v>
      </c>
      <c r="AT550" s="19">
        <f t="shared" si="264"/>
        <v>1.70891129115296</v>
      </c>
      <c r="AU550" s="19">
        <f t="shared" si="265"/>
        <v>1.27579706780673</v>
      </c>
      <c r="AV550" s="232">
        <f t="shared" si="245"/>
        <v>0.0399999999999991</v>
      </c>
      <c r="AW550" s="232">
        <f t="shared" si="246"/>
        <v>0.0399999999999991</v>
      </c>
      <c r="AX550" s="232">
        <f t="shared" si="247"/>
        <v>0.0399999999999991</v>
      </c>
      <c r="AY550" s="232">
        <f t="shared" si="248"/>
        <v>0.04</v>
      </c>
      <c r="AZ550" s="232">
        <f t="shared" si="249"/>
        <v>0.2</v>
      </c>
    </row>
    <row r="551" spans="1:52">
      <c r="A551" s="269"/>
      <c r="C551" s="19">
        <v>428</v>
      </c>
      <c r="D551" s="86">
        <f ca="1" t="shared" si="273"/>
        <v>261.132961487841</v>
      </c>
      <c r="E551" s="251">
        <f ca="1" t="shared" si="250"/>
        <v>0.342587767302539</v>
      </c>
      <c r="F551" s="269">
        <f ca="1" t="shared" si="266"/>
        <v>510.282473398486</v>
      </c>
      <c r="G551" s="283">
        <f ca="1" t="shared" si="267"/>
        <v>174.816533255204</v>
      </c>
      <c r="H551" s="279">
        <f ca="1" t="shared" si="268"/>
        <v>0.201278317423544</v>
      </c>
      <c r="I551" s="269">
        <f ca="1">SUM($J$125:J551)/SUM($H$125:H551)</f>
        <v>0.484055969423217</v>
      </c>
      <c r="J551" s="284">
        <f t="shared" si="274"/>
        <v>0.0570813054312111</v>
      </c>
      <c r="K551" s="19">
        <f t="shared" si="276"/>
        <v>43700</v>
      </c>
      <c r="L551" s="269">
        <f t="shared" si="269"/>
        <v>3.18499999999995</v>
      </c>
      <c r="M551" s="226">
        <f ca="1" t="shared" si="270"/>
        <v>435.072</v>
      </c>
      <c r="N551" s="280">
        <f ca="1" t="shared" si="275"/>
        <v>0.144197011992347</v>
      </c>
      <c r="O551" s="226">
        <f t="shared" si="280"/>
        <v>211.2</v>
      </c>
      <c r="P551" s="19">
        <f ca="1" t="shared" si="244"/>
        <v>11.6</v>
      </c>
      <c r="Q551" s="226">
        <f ca="1" t="shared" si="279"/>
        <v>2.06</v>
      </c>
      <c r="R551" s="269">
        <f ca="1" t="shared" si="251"/>
        <v>0.870966471446045</v>
      </c>
      <c r="S551" s="266">
        <f ca="1" t="shared" si="252"/>
        <v>81.8228447583609</v>
      </c>
      <c r="T551" s="226">
        <f ca="1">(1+OFFSET('玩法产出(新)'!$C$18,MATCH(X551,'玩法产出(新)'!$B$19:$B$25,0),1)*(1-V551)+OFFSET('玩法产出(新)'!$C$18,1+MATCH(X551,'玩法产出(新)'!$B$19:$B$25,0),1)*(V551))^AA551*(1+OFFSET('玩法产出(新)'!$C$18,MATCH(X551,'玩法产出(新)'!$B$19:$B$25,0),3)*(1-V551)+OFFSET('玩法产出(新)'!$C$18,1+MATCH(X551,'玩法产出(新)'!$B$19:$B$25,0),3)*(V551))^AB551*(1+OFFSET('玩法产出(新)'!$C$18,MATCH(X551,'玩法产出(新)'!$B$19:$B$25,0),4)*(1-V551)+OFFSET('玩法产出(新)'!$C$18,1+MATCH(X551,'玩法产出(新)'!$B$19:$B$25,0),4)*(V551))^AC551*(1+OFFSET('玩法产出(新)'!$C$18,MATCH(X551,'玩法产出(新)'!$B$19:$B$25,0),5)*(1+V551)+OFFSET('玩法产出(新)'!$C$18,1+MATCH(X551,'玩法产出(新)'!$B$19:$B$25,5),1)*(V551))^AD551*(1+OFFSET('玩法产出(新)'!$C$18,MATCH(X551,'玩法产出(新)'!$B$19:$B$25,0),6)*(1+V551)+OFFSET('玩法产出(新)'!$C$18,1+MATCH(X551,'玩法产出(新)'!$B$19:$B$25,0),6)*(V551))^AE551</f>
        <v>253.667179439103</v>
      </c>
      <c r="U551" s="226">
        <f ca="1" t="shared" si="271"/>
        <v>0.141309449878981</v>
      </c>
      <c r="V551" s="226">
        <f ca="1">COUNTIF($X$124:$X551,X551)/(COUNTIF($X$124:$X$723,X551)+1)</f>
        <v>0.643298969072165</v>
      </c>
      <c r="W551" s="19">
        <v>30</v>
      </c>
      <c r="X551" s="19" t="s">
        <v>326</v>
      </c>
      <c r="Y551" s="19">
        <f t="shared" si="277"/>
        <v>43960</v>
      </c>
      <c r="Z551" s="19">
        <f ca="1" t="shared" si="253"/>
        <v>0.0215878577319591</v>
      </c>
      <c r="AA551" s="282">
        <f ca="1" t="shared" si="254"/>
        <v>0.116231250000002</v>
      </c>
      <c r="AB551" s="282">
        <f ca="1" t="shared" si="255"/>
        <v>18</v>
      </c>
      <c r="AC551" s="282">
        <f ca="1" t="shared" si="256"/>
        <v>9.0543</v>
      </c>
      <c r="AD551" s="282">
        <f ca="1" t="shared" si="257"/>
        <v>2.263575</v>
      </c>
      <c r="AE551" s="282">
        <f ca="1" t="shared" si="258"/>
        <v>0.56589375</v>
      </c>
      <c r="AF551" s="19" t="str">
        <f t="shared" si="259"/>
        <v>彩4</v>
      </c>
      <c r="AG551" s="19">
        <f>IFERROR(_xlfn.XLOOKUP(C551+1,[2]基因升级!$E$141:$E$500,[2]基因升级!$D$141:$D$500)-1,AG550)</f>
        <v>111</v>
      </c>
      <c r="AH551" s="19">
        <v>8</v>
      </c>
      <c r="AI551" s="19">
        <f t="shared" si="260"/>
        <v>10.5142500606751</v>
      </c>
      <c r="AJ551" s="19">
        <f t="shared" si="272"/>
        <v>0</v>
      </c>
      <c r="AK551" s="269">
        <v>2.0368</v>
      </c>
      <c r="AL551" s="287">
        <f t="shared" si="281"/>
        <v>18.7599999999998</v>
      </c>
      <c r="AM551" s="287">
        <f t="shared" si="282"/>
        <v>15.1599999999998</v>
      </c>
      <c r="AN551" s="287">
        <f t="shared" si="243"/>
        <v>11.5599999999999</v>
      </c>
      <c r="AO551" s="287">
        <f t="shared" si="278"/>
        <v>7.96</v>
      </c>
      <c r="AP551" s="287">
        <f t="shared" si="283"/>
        <v>3.8</v>
      </c>
      <c r="AQ551" s="19">
        <f t="shared" si="261"/>
        <v>3.55827631122162</v>
      </c>
      <c r="AR551" s="19">
        <f t="shared" si="262"/>
        <v>2.78906136486016</v>
      </c>
      <c r="AS551" s="19">
        <f t="shared" si="263"/>
        <v>2.18613244632624</v>
      </c>
      <c r="AT551" s="19">
        <f t="shared" si="264"/>
        <v>1.71354246023194</v>
      </c>
      <c r="AU551" s="19">
        <f t="shared" si="265"/>
        <v>1.29317814165364</v>
      </c>
      <c r="AV551" s="232">
        <f t="shared" si="245"/>
        <v>0.0399999999999991</v>
      </c>
      <c r="AW551" s="232">
        <f t="shared" si="246"/>
        <v>0.0399999999999991</v>
      </c>
      <c r="AX551" s="232">
        <f t="shared" si="247"/>
        <v>0.0399999999999991</v>
      </c>
      <c r="AY551" s="232">
        <f t="shared" si="248"/>
        <v>0.04</v>
      </c>
      <c r="AZ551" s="232">
        <f t="shared" si="249"/>
        <v>0.2</v>
      </c>
    </row>
    <row r="552" spans="1:52">
      <c r="A552" s="269"/>
      <c r="C552" s="19">
        <v>429</v>
      </c>
      <c r="D552" s="86">
        <f ca="1" t="shared" si="273"/>
        <v>261.474174603789</v>
      </c>
      <c r="E552" s="251">
        <f ca="1" t="shared" si="250"/>
        <v>0.341213115948639</v>
      </c>
      <c r="F552" s="269">
        <f ca="1" t="shared" si="266"/>
        <v>512.923731071002</v>
      </c>
      <c r="G552" s="283">
        <f ca="1" t="shared" si="267"/>
        <v>175.016304522738</v>
      </c>
      <c r="H552" s="279">
        <f ca="1" t="shared" si="268"/>
        <v>0.199771267533549</v>
      </c>
      <c r="I552" s="269">
        <f ca="1">SUM($J$125:J552)/SUM($H$125:H552)</f>
        <v>0.483815187219817</v>
      </c>
      <c r="J552" s="284">
        <f t="shared" si="274"/>
        <v>0.0569674851689399</v>
      </c>
      <c r="K552" s="19">
        <f t="shared" si="276"/>
        <v>43800</v>
      </c>
      <c r="L552" s="269">
        <f t="shared" si="269"/>
        <v>3.18999999999995</v>
      </c>
      <c r="M552" s="226">
        <f ca="1" t="shared" si="270"/>
        <v>439.296</v>
      </c>
      <c r="N552" s="280">
        <f ca="1" t="shared" si="275"/>
        <v>0.142803782364595</v>
      </c>
      <c r="O552" s="226">
        <f t="shared" si="280"/>
        <v>211.2</v>
      </c>
      <c r="P552" s="19">
        <f ca="1" t="shared" si="244"/>
        <v>11.8</v>
      </c>
      <c r="Q552" s="226">
        <f ca="1" t="shared" si="279"/>
        <v>2.08</v>
      </c>
      <c r="R552" s="269">
        <f ca="1" t="shared" si="251"/>
        <v>0.872472054733851</v>
      </c>
      <c r="S552" s="266">
        <f ca="1" t="shared" si="252"/>
        <v>81.964286606776</v>
      </c>
      <c r="T552" s="226">
        <f ca="1">(1+OFFSET('玩法产出(新)'!$C$18,MATCH(X552,'玩法产出(新)'!$B$19:$B$25,0),1)*(1-V552)+OFFSET('玩法产出(新)'!$C$18,1+MATCH(X552,'玩法产出(新)'!$B$19:$B$25,0),1)*(V552))^AA552*(1+OFFSET('玩法产出(新)'!$C$18,MATCH(X552,'玩法产出(新)'!$B$19:$B$25,0),3)*(1-V552)+OFFSET('玩法产出(新)'!$C$18,1+MATCH(X552,'玩法产出(新)'!$B$19:$B$25,0),3)*(V552))^AB552*(1+OFFSET('玩法产出(新)'!$C$18,MATCH(X552,'玩法产出(新)'!$B$19:$B$25,0),4)*(1-V552)+OFFSET('玩法产出(新)'!$C$18,1+MATCH(X552,'玩法产出(新)'!$B$19:$B$25,0),4)*(V552))^AC552*(1+OFFSET('玩法产出(新)'!$C$18,MATCH(X552,'玩法产出(新)'!$B$19:$B$25,0),5)*(1+V552)+OFFSET('玩法产出(新)'!$C$18,1+MATCH(X552,'玩法产出(新)'!$B$19:$B$25,5),1)*(V552))^AD552*(1+OFFSET('玩法产出(新)'!$C$18,MATCH(X552,'玩法产出(新)'!$B$19:$B$25,0),6)*(1+V552)+OFFSET('玩法产出(新)'!$C$18,1+MATCH(X552,'玩法产出(新)'!$B$19:$B$25,0),6)*(V552))^AE552</f>
        <v>256.106367168045</v>
      </c>
      <c r="U552" s="226">
        <f ca="1" t="shared" si="271"/>
        <v>0.141441848415103</v>
      </c>
      <c r="V552" s="226">
        <f ca="1">COUNTIF($X$124:$X552,X552)/(COUNTIF($X$124:$X$723,X552)+1)</f>
        <v>0.645360824742268</v>
      </c>
      <c r="W552" s="19">
        <v>30</v>
      </c>
      <c r="X552" s="19" t="s">
        <v>326</v>
      </c>
      <c r="Y552" s="19">
        <f t="shared" si="277"/>
        <v>44060</v>
      </c>
      <c r="Z552" s="19">
        <f ca="1" t="shared" si="253"/>
        <v>0.0165125157216489</v>
      </c>
      <c r="AA552" s="282">
        <f ca="1" t="shared" si="254"/>
        <v>0.0888656249999968</v>
      </c>
      <c r="AB552" s="282">
        <f ca="1" t="shared" si="255"/>
        <v>18</v>
      </c>
      <c r="AC552" s="282">
        <f ca="1" t="shared" si="256"/>
        <v>9.07515</v>
      </c>
      <c r="AD552" s="282">
        <f ca="1" t="shared" si="257"/>
        <v>2.2687875</v>
      </c>
      <c r="AE552" s="282">
        <f ca="1" t="shared" si="258"/>
        <v>0.567196875</v>
      </c>
      <c r="AF552" s="19" t="str">
        <f t="shared" si="259"/>
        <v>彩4</v>
      </c>
      <c r="AG552" s="19">
        <f>IFERROR(_xlfn.XLOOKUP(C552+1,[2]基因升级!$E$141:$E$500,[2]基因升级!$D$141:$D$500)-1,AG551)</f>
        <v>111</v>
      </c>
      <c r="AH552" s="19">
        <v>8</v>
      </c>
      <c r="AI552" s="19">
        <f t="shared" si="260"/>
        <v>10.5142500606751</v>
      </c>
      <c r="AJ552" s="19">
        <f t="shared" si="272"/>
        <v>0</v>
      </c>
      <c r="AK552" s="269">
        <v>2.0368</v>
      </c>
      <c r="AL552" s="287">
        <f t="shared" si="281"/>
        <v>18.7999999999998</v>
      </c>
      <c r="AM552" s="287">
        <f t="shared" si="282"/>
        <v>15.1999999999998</v>
      </c>
      <c r="AN552" s="287">
        <f t="shared" si="243"/>
        <v>11.5999999999999</v>
      </c>
      <c r="AO552" s="287">
        <f t="shared" si="278"/>
        <v>8</v>
      </c>
      <c r="AP552" s="287">
        <f t="shared" si="283"/>
        <v>4</v>
      </c>
      <c r="AQ552" s="19">
        <f t="shared" si="261"/>
        <v>3.56791928058599</v>
      </c>
      <c r="AR552" s="19">
        <f t="shared" si="262"/>
        <v>2.79661975295157</v>
      </c>
      <c r="AS552" s="19">
        <f t="shared" si="263"/>
        <v>2.19205689017561</v>
      </c>
      <c r="AT552" s="19">
        <f t="shared" si="264"/>
        <v>1.71818617983192</v>
      </c>
      <c r="AU552" s="19">
        <f t="shared" si="265"/>
        <v>1.31079601</v>
      </c>
      <c r="AV552" s="232">
        <f t="shared" si="245"/>
        <v>0.0399999999999991</v>
      </c>
      <c r="AW552" s="232">
        <f t="shared" si="246"/>
        <v>0.0399999999999991</v>
      </c>
      <c r="AX552" s="232">
        <f t="shared" si="247"/>
        <v>0.0399999999999991</v>
      </c>
      <c r="AY552" s="232">
        <f t="shared" si="248"/>
        <v>0.04</v>
      </c>
      <c r="AZ552" s="232">
        <f t="shared" si="249"/>
        <v>0.2</v>
      </c>
    </row>
    <row r="553" spans="1:52">
      <c r="A553" s="269"/>
      <c r="C553" s="19">
        <v>430</v>
      </c>
      <c r="D553" s="86">
        <f ca="1" t="shared" si="273"/>
        <v>261.81404012849</v>
      </c>
      <c r="E553" s="251">
        <f ca="1" t="shared" si="250"/>
        <v>0.339865524700361</v>
      </c>
      <c r="F553" s="269">
        <f ca="1" t="shared" si="266"/>
        <v>515.540951166647</v>
      </c>
      <c r="G553" s="283">
        <f ca="1" t="shared" si="267"/>
        <v>175.214595872776</v>
      </c>
      <c r="H553" s="279">
        <f ca="1" t="shared" si="268"/>
        <v>0.198291350038005</v>
      </c>
      <c r="I553" s="269">
        <f ca="1">SUM($J$125:J553)/SUM($H$125:H553)</f>
        <v>0.483578632849828</v>
      </c>
      <c r="J553" s="284">
        <f t="shared" si="274"/>
        <v>0.0568541320029254</v>
      </c>
      <c r="K553" s="19">
        <f t="shared" si="276"/>
        <v>43900</v>
      </c>
      <c r="L553" s="269">
        <f t="shared" si="269"/>
        <v>3.19499999999995</v>
      </c>
      <c r="M553" s="226">
        <f ca="1" t="shared" si="270"/>
        <v>443.52</v>
      </c>
      <c r="N553" s="280">
        <f ca="1" t="shared" si="275"/>
        <v>0.141437218035094</v>
      </c>
      <c r="O553" s="226">
        <f t="shared" si="280"/>
        <v>211.2</v>
      </c>
      <c r="P553" s="19">
        <f ca="1" t="shared" si="244"/>
        <v>12</v>
      </c>
      <c r="Q553" s="226">
        <f ca="1" t="shared" si="279"/>
        <v>2.1</v>
      </c>
      <c r="R553" s="269">
        <f ca="1" t="shared" si="251"/>
        <v>0.873979046573571</v>
      </c>
      <c r="S553" s="266">
        <f ca="1" t="shared" si="252"/>
        <v>82.1058607814383</v>
      </c>
      <c r="T553" s="226">
        <f ca="1">(1+OFFSET('玩法产出(新)'!$C$18,MATCH(X553,'玩法产出(新)'!$B$19:$B$25,0),1)*(1-V553)+OFFSET('玩法产出(新)'!$C$18,1+MATCH(X553,'玩法产出(新)'!$B$19:$B$25,0),1)*(V553))^AA553*(1+OFFSET('玩法产出(新)'!$C$18,MATCH(X553,'玩法产出(新)'!$B$19:$B$25,0),3)*(1-V553)+OFFSET('玩法产出(新)'!$C$18,1+MATCH(X553,'玩法产出(新)'!$B$19:$B$25,0),3)*(V553))^AB553*(1+OFFSET('玩法产出(新)'!$C$18,MATCH(X553,'玩法产出(新)'!$B$19:$B$25,0),4)*(1-V553)+OFFSET('玩法产出(新)'!$C$18,1+MATCH(X553,'玩法产出(新)'!$B$19:$B$25,0),4)*(V553))^AC553*(1+OFFSET('玩法产出(新)'!$C$18,MATCH(X553,'玩法产出(新)'!$B$19:$B$25,0),5)*(1+V553)+OFFSET('玩法产出(新)'!$C$18,1+MATCH(X553,'玩法产出(新)'!$B$19:$B$25,5),1)*(V553))^AD553*(1+OFFSET('玩法产出(新)'!$C$18,MATCH(X553,'玩法产出(新)'!$B$19:$B$25,0),6)*(1+V553)+OFFSET('玩法产出(新)'!$C$18,1+MATCH(X553,'玩法产出(新)'!$B$19:$B$25,0),6)*(V553))^AE553</f>
        <v>258.571324379255</v>
      </c>
      <c r="U553" s="226">
        <f ca="1" t="shared" si="271"/>
        <v>0.141574174662342</v>
      </c>
      <c r="V553" s="226">
        <f ca="1">COUNTIF($X$124:$X553,X553)/(COUNTIF($X$124:$X$723,X553)+1)</f>
        <v>0.647422680412371</v>
      </c>
      <c r="W553" s="19">
        <v>30</v>
      </c>
      <c r="X553" s="19" t="s">
        <v>326</v>
      </c>
      <c r="Y553" s="19">
        <f t="shared" si="277"/>
        <v>44160</v>
      </c>
      <c r="Z553" s="19">
        <f ca="1" t="shared" si="253"/>
        <v>0.0114326597938142</v>
      </c>
      <c r="AA553" s="282">
        <f ca="1" t="shared" si="254"/>
        <v>0.0614999999999988</v>
      </c>
      <c r="AB553" s="282">
        <f ca="1" t="shared" si="255"/>
        <v>18</v>
      </c>
      <c r="AC553" s="282">
        <f ca="1" t="shared" si="256"/>
        <v>9.096</v>
      </c>
      <c r="AD553" s="282">
        <f ca="1" t="shared" si="257"/>
        <v>2.274</v>
      </c>
      <c r="AE553" s="282">
        <f ca="1" t="shared" si="258"/>
        <v>0.5685</v>
      </c>
      <c r="AF553" s="19" t="str">
        <f t="shared" si="259"/>
        <v>彩4</v>
      </c>
      <c r="AG553" s="19">
        <f>IFERROR(_xlfn.XLOOKUP(C553+1,[2]基因升级!$E$141:$E$500,[2]基因升级!$D$141:$D$500)-1,AG552)</f>
        <v>111</v>
      </c>
      <c r="AH553" s="19">
        <v>8</v>
      </c>
      <c r="AI553" s="19">
        <f t="shared" si="260"/>
        <v>10.5142500606751</v>
      </c>
      <c r="AJ553" s="19">
        <f t="shared" si="272"/>
        <v>0</v>
      </c>
      <c r="AK553" s="269">
        <v>2.0368</v>
      </c>
      <c r="AL553" s="287">
        <f t="shared" si="281"/>
        <v>18.8399999999998</v>
      </c>
      <c r="AM553" s="287">
        <f t="shared" si="282"/>
        <v>15.2399999999998</v>
      </c>
      <c r="AN553" s="287">
        <f t="shared" si="243"/>
        <v>11.6399999999999</v>
      </c>
      <c r="AO553" s="287">
        <f t="shared" si="278"/>
        <v>8.04</v>
      </c>
      <c r="AP553" s="287">
        <f t="shared" si="283"/>
        <v>4.1</v>
      </c>
      <c r="AQ553" s="19">
        <f t="shared" si="261"/>
        <v>3.57758838250725</v>
      </c>
      <c r="AR553" s="19">
        <f t="shared" si="262"/>
        <v>2.80419862436086</v>
      </c>
      <c r="AS553" s="19">
        <f t="shared" si="263"/>
        <v>2.19799738933534</v>
      </c>
      <c r="AT553" s="19">
        <f t="shared" si="264"/>
        <v>1.72284248396495</v>
      </c>
      <c r="AU553" s="19">
        <f t="shared" si="265"/>
        <v>1.31969474853087</v>
      </c>
      <c r="AV553" s="232">
        <f t="shared" si="245"/>
        <v>0.0399999999999991</v>
      </c>
      <c r="AW553" s="232">
        <f t="shared" si="246"/>
        <v>0.0399999999999991</v>
      </c>
      <c r="AX553" s="232">
        <f t="shared" si="247"/>
        <v>0.0399999999999991</v>
      </c>
      <c r="AY553" s="232">
        <f t="shared" si="248"/>
        <v>0.04</v>
      </c>
      <c r="AZ553" s="232">
        <f t="shared" si="249"/>
        <v>0.0999999999999996</v>
      </c>
    </row>
    <row r="554" spans="1:52">
      <c r="A554" s="269"/>
      <c r="C554" s="19">
        <v>431</v>
      </c>
      <c r="D554" s="86">
        <f ca="1" t="shared" si="273"/>
        <v>262.152584360911</v>
      </c>
      <c r="E554" s="251">
        <f ca="1" t="shared" si="250"/>
        <v>0.338544232421023</v>
      </c>
      <c r="F554" s="269">
        <f ca="1" t="shared" si="266"/>
        <v>518.134461845871</v>
      </c>
      <c r="G554" s="283">
        <f ca="1" t="shared" si="267"/>
        <v>175.41143367649</v>
      </c>
      <c r="H554" s="279">
        <f ca="1" t="shared" si="268"/>
        <v>0.196837803714288</v>
      </c>
      <c r="I554" s="269">
        <f ca="1">SUM($J$125:J554)/SUM($H$125:H554)</f>
        <v>0.48334621050652</v>
      </c>
      <c r="J554" s="284">
        <f t="shared" si="274"/>
        <v>0.0567412429883802</v>
      </c>
      <c r="K554" s="19">
        <f t="shared" si="276"/>
        <v>44000</v>
      </c>
      <c r="L554" s="269">
        <f t="shared" si="269"/>
        <v>3.19999999999995</v>
      </c>
      <c r="M554" s="226">
        <f ca="1" t="shared" si="270"/>
        <v>447.744</v>
      </c>
      <c r="N554" s="280">
        <f ca="1" t="shared" si="275"/>
        <v>0.140096560725894</v>
      </c>
      <c r="O554" s="226">
        <f t="shared" si="280"/>
        <v>211.2</v>
      </c>
      <c r="P554" s="19">
        <f ca="1" t="shared" si="244"/>
        <v>12.2</v>
      </c>
      <c r="Q554" s="226">
        <f ca="1" t="shared" si="279"/>
        <v>2.12</v>
      </c>
      <c r="R554" s="269">
        <f ca="1" t="shared" si="251"/>
        <v>0.87548744619664</v>
      </c>
      <c r="S554" s="266">
        <f ca="1" t="shared" si="252"/>
        <v>82.2475672101451</v>
      </c>
      <c r="T554" s="226">
        <f ca="1">(1+OFFSET('玩法产出(新)'!$C$18,MATCH(X554,'玩法产出(新)'!$B$19:$B$25,0),1)*(1-V554)+OFFSET('玩法产出(新)'!$C$18,1+MATCH(X554,'玩法产出(新)'!$B$19:$B$25,0),1)*(V554))^AA554*(1+OFFSET('玩法产出(新)'!$C$18,MATCH(X554,'玩法产出(新)'!$B$19:$B$25,0),3)*(1-V554)+OFFSET('玩法产出(新)'!$C$18,1+MATCH(X554,'玩法产出(新)'!$B$19:$B$25,0),3)*(V554))^AB554*(1+OFFSET('玩法产出(新)'!$C$18,MATCH(X554,'玩法产出(新)'!$B$19:$B$25,0),4)*(1-V554)+OFFSET('玩法产出(新)'!$C$18,1+MATCH(X554,'玩法产出(新)'!$B$19:$B$25,0),4)*(V554))^AC554*(1+OFFSET('玩法产出(新)'!$C$18,MATCH(X554,'玩法产出(新)'!$B$19:$B$25,0),5)*(1+V554)+OFFSET('玩法产出(新)'!$C$18,1+MATCH(X554,'玩法产出(新)'!$B$19:$B$25,5),1)*(V554))^AD554*(1+OFFSET('玩法产出(新)'!$C$18,MATCH(X554,'玩法产出(新)'!$B$19:$B$25,0),6)*(1+V554)+OFFSET('玩法产出(新)'!$C$18,1+MATCH(X554,'玩法产出(新)'!$B$19:$B$25,0),6)*(V554))^AE554</f>
        <v>261.062342172174</v>
      </c>
      <c r="U554" s="226">
        <f ca="1" t="shared" si="271"/>
        <v>0.141706428706749</v>
      </c>
      <c r="V554" s="226">
        <f ca="1">COUNTIF($X$124:$X554,X554)/(COUNTIF($X$124:$X$723,X554)+1)</f>
        <v>0.649484536082474</v>
      </c>
      <c r="W554" s="19">
        <v>30</v>
      </c>
      <c r="X554" s="19" t="s">
        <v>326</v>
      </c>
      <c r="Y554" s="19">
        <f t="shared" si="277"/>
        <v>44260</v>
      </c>
      <c r="Z554" s="19">
        <f ca="1" t="shared" si="253"/>
        <v>0.00634828994845374</v>
      </c>
      <c r="AA554" s="282">
        <f ca="1" t="shared" si="254"/>
        <v>0.0341343750000007</v>
      </c>
      <c r="AB554" s="282">
        <f ca="1" t="shared" si="255"/>
        <v>18</v>
      </c>
      <c r="AC554" s="282">
        <f ca="1" t="shared" si="256"/>
        <v>9.11685</v>
      </c>
      <c r="AD554" s="282">
        <f ca="1" t="shared" si="257"/>
        <v>2.2792125</v>
      </c>
      <c r="AE554" s="282">
        <f ca="1" t="shared" si="258"/>
        <v>0.569803125</v>
      </c>
      <c r="AF554" s="19" t="str">
        <f t="shared" si="259"/>
        <v>彩4</v>
      </c>
      <c r="AG554" s="19">
        <f>IFERROR(_xlfn.XLOOKUP(C554+1,[2]基因升级!$E$141:$E$500,[2]基因升级!$D$141:$D$500)-1,AG553)</f>
        <v>111</v>
      </c>
      <c r="AH554" s="19">
        <v>8</v>
      </c>
      <c r="AI554" s="19">
        <f t="shared" si="260"/>
        <v>10.5142500606751</v>
      </c>
      <c r="AJ554" s="19">
        <f t="shared" si="272"/>
        <v>0</v>
      </c>
      <c r="AK554" s="269">
        <v>2.0368</v>
      </c>
      <c r="AL554" s="287">
        <f t="shared" si="281"/>
        <v>18.8799999999998</v>
      </c>
      <c r="AM554" s="287">
        <f t="shared" si="282"/>
        <v>15.2799999999998</v>
      </c>
      <c r="AN554" s="287">
        <f t="shared" si="243"/>
        <v>11.6799999999999</v>
      </c>
      <c r="AO554" s="287">
        <f t="shared" si="278"/>
        <v>8.08</v>
      </c>
      <c r="AP554" s="287">
        <f t="shared" si="283"/>
        <v>4.2</v>
      </c>
      <c r="AQ554" s="19">
        <f t="shared" si="261"/>
        <v>3.58728368780493</v>
      </c>
      <c r="AR554" s="19">
        <f t="shared" si="262"/>
        <v>2.81179803459807</v>
      </c>
      <c r="AS554" s="19">
        <f t="shared" si="263"/>
        <v>2.20395398731551</v>
      </c>
      <c r="AT554" s="19">
        <f t="shared" si="264"/>
        <v>1.72751140673525</v>
      </c>
      <c r="AU554" s="19">
        <f t="shared" si="265"/>
        <v>1.32865389886254</v>
      </c>
      <c r="AV554" s="232">
        <f t="shared" si="245"/>
        <v>0.0399999999999991</v>
      </c>
      <c r="AW554" s="232">
        <f t="shared" si="246"/>
        <v>0.0399999999999991</v>
      </c>
      <c r="AX554" s="232">
        <f t="shared" si="247"/>
        <v>0.0399999999999991</v>
      </c>
      <c r="AY554" s="232">
        <f t="shared" si="248"/>
        <v>0.0399999999999991</v>
      </c>
      <c r="AZ554" s="232">
        <f t="shared" si="249"/>
        <v>0.0999999999999996</v>
      </c>
    </row>
    <row r="555" spans="1:52">
      <c r="A555" s="269"/>
      <c r="C555" s="19">
        <v>432</v>
      </c>
      <c r="D555" s="86">
        <f ca="1" t="shared" si="273"/>
        <v>262.48983286739</v>
      </c>
      <c r="E555" s="251">
        <f ca="1" t="shared" si="250"/>
        <v>0.337248506479657</v>
      </c>
      <c r="F555" s="269">
        <f ca="1" t="shared" si="266"/>
        <v>520.704584893184</v>
      </c>
      <c r="G555" s="283">
        <f ca="1" t="shared" si="267"/>
        <v>175.606843572336</v>
      </c>
      <c r="H555" s="279">
        <f ca="1" t="shared" si="268"/>
        <v>0.1954098958457</v>
      </c>
      <c r="I555" s="269">
        <f ca="1">SUM($J$125:J555)/SUM($H$125:H555)</f>
        <v>0.483117827327233</v>
      </c>
      <c r="J555" s="284">
        <f t="shared" si="274"/>
        <v>0.0566288152056984</v>
      </c>
      <c r="K555" s="19">
        <f t="shared" si="276"/>
        <v>44100</v>
      </c>
      <c r="L555" s="269">
        <f t="shared" si="269"/>
        <v>3.20499999999995</v>
      </c>
      <c r="M555" s="226">
        <f ca="1" t="shared" si="270"/>
        <v>451.968</v>
      </c>
      <c r="N555" s="280">
        <f ca="1" t="shared" si="275"/>
        <v>0.138781080640001</v>
      </c>
      <c r="O555" s="226">
        <f t="shared" si="280"/>
        <v>211.2</v>
      </c>
      <c r="P555" s="19">
        <f ca="1" t="shared" si="244"/>
        <v>12.4</v>
      </c>
      <c r="Q555" s="226">
        <f ca="1" t="shared" si="279"/>
        <v>2.14</v>
      </c>
      <c r="R555" s="269">
        <f ca="1" t="shared" si="251"/>
        <v>0.876997252835403</v>
      </c>
      <c r="S555" s="266">
        <f ca="1" t="shared" si="252"/>
        <v>82.389405820779</v>
      </c>
      <c r="T555" s="226">
        <f ca="1">(1+OFFSET('玩法产出(新)'!$C$18,MATCH(X555,'玩法产出(新)'!$B$19:$B$25,0),1)*(1-V555)+OFFSET('玩法产出(新)'!$C$18,1+MATCH(X555,'玩法产出(新)'!$B$19:$B$25,0),1)*(V555))^AA555*(1+OFFSET('玩法产出(新)'!$C$18,MATCH(X555,'玩法产出(新)'!$B$19:$B$25,0),3)*(1-V555)+OFFSET('玩法产出(新)'!$C$18,1+MATCH(X555,'玩法产出(新)'!$B$19:$B$25,0),3)*(V555))^AB555*(1+OFFSET('玩法产出(新)'!$C$18,MATCH(X555,'玩法产出(新)'!$B$19:$B$25,0),4)*(1-V555)+OFFSET('玩法产出(新)'!$C$18,1+MATCH(X555,'玩法产出(新)'!$B$19:$B$25,0),4)*(V555))^AC555*(1+OFFSET('玩法产出(新)'!$C$18,MATCH(X555,'玩法产出(新)'!$B$19:$B$25,0),5)*(1+V555)+OFFSET('玩法产出(新)'!$C$18,1+MATCH(X555,'玩法产出(新)'!$B$19:$B$25,5),1)*(V555))^AD555*(1+OFFSET('玩法产出(新)'!$C$18,MATCH(X555,'玩法产出(新)'!$B$19:$B$25,0),6)*(1+V555)+OFFSET('玩法产出(新)'!$C$18,1+MATCH(X555,'玩法产出(新)'!$B$19:$B$25,0),6)*(V555))^AE555</f>
        <v>263.579715117308</v>
      </c>
      <c r="U555" s="226">
        <f ca="1" t="shared" si="271"/>
        <v>0.141838610633958</v>
      </c>
      <c r="V555" s="226">
        <f ca="1">COUNTIF($X$124:$X555,X555)/(COUNTIF($X$124:$X$723,X555)+1)</f>
        <v>0.651546391752577</v>
      </c>
      <c r="W555" s="19">
        <v>30</v>
      </c>
      <c r="X555" s="19" t="s">
        <v>326</v>
      </c>
      <c r="Y555" s="19">
        <f t="shared" si="277"/>
        <v>44360</v>
      </c>
      <c r="Z555" s="19">
        <f ca="1" t="shared" si="253"/>
        <v>0.00125940618556684</v>
      </c>
      <c r="AA555" s="282">
        <f ca="1" t="shared" si="254"/>
        <v>0.0067687499999991</v>
      </c>
      <c r="AB555" s="282">
        <f ca="1" t="shared" si="255"/>
        <v>18</v>
      </c>
      <c r="AC555" s="282">
        <f ca="1" t="shared" si="256"/>
        <v>9.1377</v>
      </c>
      <c r="AD555" s="282">
        <f ca="1" t="shared" si="257"/>
        <v>2.284425</v>
      </c>
      <c r="AE555" s="282">
        <f ca="1" t="shared" si="258"/>
        <v>0.57110625</v>
      </c>
      <c r="AF555" s="19" t="str">
        <f t="shared" si="259"/>
        <v>彩4</v>
      </c>
      <c r="AG555" s="19">
        <f>IFERROR(_xlfn.XLOOKUP(C555+1,[2]基因升级!$E$141:$E$500,[2]基因升级!$D$141:$D$500)-1,AG554)</f>
        <v>111</v>
      </c>
      <c r="AH555" s="19">
        <v>8</v>
      </c>
      <c r="AI555" s="19">
        <f t="shared" si="260"/>
        <v>10.5142500606751</v>
      </c>
      <c r="AJ555" s="19">
        <f t="shared" si="272"/>
        <v>0</v>
      </c>
      <c r="AK555" s="269">
        <v>2.0368</v>
      </c>
      <c r="AL555" s="287">
        <f t="shared" si="281"/>
        <v>18.9199999999998</v>
      </c>
      <c r="AM555" s="287">
        <f t="shared" si="282"/>
        <v>15.3199999999998</v>
      </c>
      <c r="AN555" s="287">
        <f t="shared" ref="AN555:AN618" si="284">AM465</f>
        <v>11.7199999999999</v>
      </c>
      <c r="AO555" s="287">
        <f t="shared" si="278"/>
        <v>8.12</v>
      </c>
      <c r="AP555" s="287">
        <f t="shared" si="283"/>
        <v>4.3</v>
      </c>
      <c r="AQ555" s="19">
        <f t="shared" si="261"/>
        <v>3.59700526749049</v>
      </c>
      <c r="AR555" s="19">
        <f t="shared" si="262"/>
        <v>2.81941803932364</v>
      </c>
      <c r="AS555" s="19">
        <f t="shared" si="263"/>
        <v>2.2099267277441</v>
      </c>
      <c r="AT555" s="19">
        <f t="shared" si="264"/>
        <v>1.73219298233948</v>
      </c>
      <c r="AU555" s="19">
        <f t="shared" si="265"/>
        <v>1.33767387111894</v>
      </c>
      <c r="AV555" s="232">
        <f t="shared" si="245"/>
        <v>0.0399999999999991</v>
      </c>
      <c r="AW555" s="232">
        <f t="shared" si="246"/>
        <v>0.0399999999999991</v>
      </c>
      <c r="AX555" s="232">
        <f t="shared" si="247"/>
        <v>0.0399999999999991</v>
      </c>
      <c r="AY555" s="232">
        <f t="shared" si="248"/>
        <v>0.0399999999999991</v>
      </c>
      <c r="AZ555" s="232">
        <f t="shared" si="249"/>
        <v>0.0999999999999996</v>
      </c>
    </row>
    <row r="556" spans="1:52">
      <c r="A556" s="269"/>
      <c r="C556" s="19">
        <v>433</v>
      </c>
      <c r="D556" s="86">
        <f ca="1" t="shared" si="273"/>
        <v>262.846597973727</v>
      </c>
      <c r="E556" s="251">
        <f ca="1" t="shared" si="250"/>
        <v>0.356765106336314</v>
      </c>
      <c r="F556" s="269">
        <f ca="1" t="shared" si="266"/>
        <v>492.763578530883</v>
      </c>
      <c r="G556" s="283">
        <f ca="1" t="shared" si="267"/>
        <v>175.800850493233</v>
      </c>
      <c r="H556" s="279">
        <f ca="1" t="shared" si="268"/>
        <v>0.19400692089701</v>
      </c>
      <c r="I556" s="269">
        <f ca="1">SUM($J$125:J556)/SUM($H$125:H556)</f>
        <v>0.482893393277352</v>
      </c>
      <c r="J556" s="284">
        <f t="shared" si="274"/>
        <v>0.0565168457602852</v>
      </c>
      <c r="K556" s="19">
        <f t="shared" si="276"/>
        <v>44200</v>
      </c>
      <c r="L556" s="269">
        <f t="shared" si="269"/>
        <v>3.20999999999995</v>
      </c>
      <c r="M556" s="226">
        <f ca="1" t="shared" si="270"/>
        <v>456.192</v>
      </c>
      <c r="N556" s="280">
        <f ca="1" t="shared" si="275"/>
        <v>0.137490075136725</v>
      </c>
      <c r="O556" s="226">
        <f t="shared" si="280"/>
        <v>211.2</v>
      </c>
      <c r="P556" s="19">
        <f ca="1" t="shared" si="244"/>
        <v>12.6</v>
      </c>
      <c r="Q556" s="226">
        <f ca="1" t="shared" si="279"/>
        <v>2.16</v>
      </c>
      <c r="R556" s="269">
        <f ca="1" t="shared" si="251"/>
        <v>0.878729738706429</v>
      </c>
      <c r="S556" s="266">
        <f ca="1" t="shared" si="252"/>
        <v>82.5521640062183</v>
      </c>
      <c r="T556" s="226">
        <f ca="1">(1+OFFSET('玩法产出(新)'!$C$18,MATCH(X556,'玩法产出(新)'!$B$19:$B$25,0),1)*(1-V556)+OFFSET('玩法产出(新)'!$C$18,1+MATCH(X556,'玩法产出(新)'!$B$19:$B$25,0),1)*(V556))^AA556*(1+OFFSET('玩法产出(新)'!$C$18,MATCH(X556,'玩法产出(新)'!$B$19:$B$25,0),3)*(1-V556)+OFFSET('玩法产出(新)'!$C$18,1+MATCH(X556,'玩法产出(新)'!$B$19:$B$25,0),3)*(V556))^AB556*(1+OFFSET('玩法产出(新)'!$C$18,MATCH(X556,'玩法产出(新)'!$B$19:$B$25,0),4)*(1-V556)+OFFSET('玩法产出(新)'!$C$18,1+MATCH(X556,'玩法产出(新)'!$B$19:$B$25,0),4)*(V556))^AC556*(1+OFFSET('玩法产出(新)'!$C$18,MATCH(X556,'玩法产出(新)'!$B$19:$B$25,0),5)*(1+V556)+OFFSET('玩法产出(新)'!$C$18,1+MATCH(X556,'玩法产出(新)'!$B$19:$B$25,5),1)*(V556))^AD556*(1+OFFSET('玩法产出(新)'!$C$18,MATCH(X556,'玩法产出(新)'!$B$19:$B$25,0),6)*(1+V556)+OFFSET('玩法产出(新)'!$C$18,1+MATCH(X556,'玩法产出(新)'!$B$19:$B$25,0),6)*(V556))^AE556</f>
        <v>266.498294843458</v>
      </c>
      <c r="U556" s="226">
        <f ca="1" t="shared" si="271"/>
        <v>0.162758185439303</v>
      </c>
      <c r="V556" s="226">
        <f ca="1">COUNTIF($X$124:$X556,X556)/(COUNTIF($X$124:$X$723,X556)+1)</f>
        <v>0.65360824742268</v>
      </c>
      <c r="W556" s="19">
        <v>30</v>
      </c>
      <c r="X556" s="19" t="s">
        <v>326</v>
      </c>
      <c r="Y556" s="19">
        <f t="shared" si="277"/>
        <v>44460</v>
      </c>
      <c r="Z556" s="19">
        <f ca="1" t="shared" si="253"/>
        <v>0</v>
      </c>
      <c r="AA556" s="282">
        <f ca="1" t="shared" si="254"/>
        <v>0</v>
      </c>
      <c r="AB556" s="282">
        <f ca="1" t="shared" si="255"/>
        <v>18</v>
      </c>
      <c r="AC556" s="282">
        <f ca="1" t="shared" si="256"/>
        <v>9.15855</v>
      </c>
      <c r="AD556" s="282">
        <f ca="1" t="shared" si="257"/>
        <v>2.2896375</v>
      </c>
      <c r="AE556" s="282">
        <f ca="1" t="shared" si="258"/>
        <v>0.572409375</v>
      </c>
      <c r="AF556" s="19" t="str">
        <f t="shared" si="259"/>
        <v>彩4</v>
      </c>
      <c r="AG556" s="19">
        <f>IFERROR(_xlfn.XLOOKUP(C556+1,[2]基因升级!$E$141:$E$500,[2]基因升级!$D$141:$D$500)-1,AG555)</f>
        <v>111</v>
      </c>
      <c r="AH556" s="19">
        <v>8</v>
      </c>
      <c r="AI556" s="19">
        <f t="shared" si="260"/>
        <v>10.5142500606751</v>
      </c>
      <c r="AJ556" s="19">
        <f t="shared" si="272"/>
        <v>0</v>
      </c>
      <c r="AK556" s="269">
        <v>2.0368</v>
      </c>
      <c r="AL556" s="287">
        <f t="shared" si="281"/>
        <v>18.9599999999998</v>
      </c>
      <c r="AM556" s="287">
        <f t="shared" si="282"/>
        <v>15.3599999999998</v>
      </c>
      <c r="AN556" s="287">
        <f t="shared" si="284"/>
        <v>11.7599999999999</v>
      </c>
      <c r="AO556" s="287">
        <f t="shared" si="278"/>
        <v>8.16</v>
      </c>
      <c r="AP556" s="287">
        <f t="shared" si="283"/>
        <v>4.4</v>
      </c>
      <c r="AQ556" s="19">
        <f t="shared" si="261"/>
        <v>3.60675319276782</v>
      </c>
      <c r="AR556" s="19">
        <f t="shared" si="262"/>
        <v>2.82705869434888</v>
      </c>
      <c r="AS556" s="19">
        <f t="shared" si="263"/>
        <v>2.21591565436734</v>
      </c>
      <c r="AT556" s="19">
        <f t="shared" si="264"/>
        <v>1.73688724506697</v>
      </c>
      <c r="AU556" s="19">
        <f t="shared" si="265"/>
        <v>1.34675507820826</v>
      </c>
      <c r="AV556" s="232">
        <f t="shared" si="245"/>
        <v>0.0399999999999991</v>
      </c>
      <c r="AW556" s="232">
        <f t="shared" si="246"/>
        <v>0.0399999999999991</v>
      </c>
      <c r="AX556" s="232">
        <f t="shared" si="247"/>
        <v>0.0399999999999991</v>
      </c>
      <c r="AY556" s="232">
        <f t="shared" si="248"/>
        <v>0.0399999999999991</v>
      </c>
      <c r="AZ556" s="232">
        <f t="shared" si="249"/>
        <v>0.0999999999999996</v>
      </c>
    </row>
    <row r="557" spans="1:52">
      <c r="A557" s="269"/>
      <c r="C557" s="19">
        <v>434</v>
      </c>
      <c r="D557" s="86">
        <f ca="1" t="shared" si="273"/>
        <v>263.208964844128</v>
      </c>
      <c r="E557" s="251">
        <f ca="1" t="shared" si="250"/>
        <v>0.362366870401236</v>
      </c>
      <c r="F557" s="269">
        <f ca="1" t="shared" si="266"/>
        <v>485.677618645501</v>
      </c>
      <c r="G557" s="283">
        <f ca="1" t="shared" si="267"/>
        <v>175.993478692495</v>
      </c>
      <c r="H557" s="279">
        <f ca="1" t="shared" si="268"/>
        <v>0.192628199262117</v>
      </c>
      <c r="I557" s="269">
        <f ca="1">SUM($J$125:J557)/SUM($H$125:H557)</f>
        <v>0.482672821039883</v>
      </c>
      <c r="J557" s="284">
        <f t="shared" si="274"/>
        <v>0.0564053317821305</v>
      </c>
      <c r="K557" s="19">
        <f t="shared" si="276"/>
        <v>44300</v>
      </c>
      <c r="L557" s="269">
        <f t="shared" si="269"/>
        <v>3.21499999999995</v>
      </c>
      <c r="M557" s="226">
        <f ca="1" t="shared" si="270"/>
        <v>460.416</v>
      </c>
      <c r="N557" s="280">
        <f ca="1" t="shared" si="275"/>
        <v>0.136222867480001</v>
      </c>
      <c r="O557" s="226">
        <f t="shared" si="280"/>
        <v>211.2</v>
      </c>
      <c r="P557" s="19">
        <f ca="1" t="shared" si="244"/>
        <v>12.8</v>
      </c>
      <c r="Q557" s="226">
        <f ca="1" t="shared" si="279"/>
        <v>2.18</v>
      </c>
      <c r="R557" s="269">
        <f ca="1" t="shared" si="251"/>
        <v>0.880536528630522</v>
      </c>
      <c r="S557" s="266">
        <f ca="1" t="shared" si="252"/>
        <v>82.7219026773574</v>
      </c>
      <c r="T557" s="226">
        <f ca="1">(1+OFFSET('玩法产出(新)'!$C$18,MATCH(X557,'玩法产出(新)'!$B$19:$B$25,0),1)*(1-V557)+OFFSET('玩法产出(新)'!$C$18,1+MATCH(X557,'玩法产出(新)'!$B$19:$B$25,0),1)*(V557))^AA557*(1+OFFSET('玩法产出(新)'!$C$18,MATCH(X557,'玩法产出(新)'!$B$19:$B$25,0),3)*(1-V557)+OFFSET('玩法产出(新)'!$C$18,1+MATCH(X557,'玩法产出(新)'!$B$19:$B$25,0),3)*(V557))^AB557*(1+OFFSET('玩法产出(新)'!$C$18,MATCH(X557,'玩法产出(新)'!$B$19:$B$25,0),4)*(1-V557)+OFFSET('玩法产出(新)'!$C$18,1+MATCH(X557,'玩法产出(新)'!$B$19:$B$25,0),4)*(V557))^AC557*(1+OFFSET('玩法产出(新)'!$C$18,MATCH(X557,'玩法产出(新)'!$B$19:$B$25,0),5)*(1+V557)+OFFSET('玩法产出(新)'!$C$18,1+MATCH(X557,'玩法产出(新)'!$B$19:$B$25,5),1)*(V557))^AD557*(1+OFFSET('玩法产出(新)'!$C$18,MATCH(X557,'玩法产出(新)'!$B$19:$B$25,0),6)*(1+V557)+OFFSET('玩法产出(新)'!$C$18,1+MATCH(X557,'玩法产出(新)'!$B$19:$B$25,0),6)*(V557))^AE557</f>
        <v>269.576479853362</v>
      </c>
      <c r="U557" s="226">
        <f ca="1" t="shared" si="271"/>
        <v>0.169738671139105</v>
      </c>
      <c r="V557" s="226">
        <f ca="1">COUNTIF($X$124:$X557,X557)/(COUNTIF($X$124:$X$723,X557)+1)</f>
        <v>0.655670103092784</v>
      </c>
      <c r="W557" s="19">
        <v>30</v>
      </c>
      <c r="X557" s="19" t="s">
        <v>326</v>
      </c>
      <c r="Y557" s="19">
        <f t="shared" si="277"/>
        <v>44560</v>
      </c>
      <c r="Z557" s="19">
        <f ca="1" t="shared" si="253"/>
        <v>0</v>
      </c>
      <c r="AA557" s="282">
        <f ca="1" t="shared" si="254"/>
        <v>0</v>
      </c>
      <c r="AB557" s="282">
        <f ca="1" t="shared" si="255"/>
        <v>18</v>
      </c>
      <c r="AC557" s="282">
        <f ca="1" t="shared" si="256"/>
        <v>9.1794</v>
      </c>
      <c r="AD557" s="282">
        <f ca="1" t="shared" si="257"/>
        <v>2.29485</v>
      </c>
      <c r="AE557" s="282">
        <f ca="1" t="shared" si="258"/>
        <v>0.5737125</v>
      </c>
      <c r="AF557" s="19" t="str">
        <f t="shared" si="259"/>
        <v>彩4</v>
      </c>
      <c r="AG557" s="19">
        <f>IFERROR(_xlfn.XLOOKUP(C557+1,[2]基因升级!$E$141:$E$500,[2]基因升级!$D$141:$D$500)-1,AG556)</f>
        <v>111</v>
      </c>
      <c r="AH557" s="19">
        <v>8</v>
      </c>
      <c r="AI557" s="19">
        <f t="shared" si="260"/>
        <v>10.5142500606751</v>
      </c>
      <c r="AJ557" s="19">
        <f t="shared" si="272"/>
        <v>0</v>
      </c>
      <c r="AK557" s="269">
        <v>2.0368</v>
      </c>
      <c r="AL557" s="287">
        <f t="shared" si="281"/>
        <v>18.9999999999998</v>
      </c>
      <c r="AM557" s="287">
        <f t="shared" si="282"/>
        <v>15.3999999999998</v>
      </c>
      <c r="AN557" s="287">
        <f t="shared" si="284"/>
        <v>11.7999999999999</v>
      </c>
      <c r="AO557" s="287">
        <f t="shared" si="278"/>
        <v>8.2</v>
      </c>
      <c r="AP557" s="287">
        <f t="shared" si="283"/>
        <v>4.5</v>
      </c>
      <c r="AQ557" s="19">
        <f t="shared" si="261"/>
        <v>3.61652753503376</v>
      </c>
      <c r="AR557" s="19">
        <f t="shared" si="262"/>
        <v>2.83472005563634</v>
      </c>
      <c r="AS557" s="19">
        <f t="shared" si="263"/>
        <v>2.22192081105</v>
      </c>
      <c r="AT557" s="19">
        <f t="shared" si="264"/>
        <v>1.74159422929996</v>
      </c>
      <c r="AU557" s="19">
        <f t="shared" si="265"/>
        <v>1.35589793584184</v>
      </c>
      <c r="AV557" s="232">
        <f t="shared" si="245"/>
        <v>0.0399999999999991</v>
      </c>
      <c r="AW557" s="232">
        <f t="shared" si="246"/>
        <v>0.0399999999999991</v>
      </c>
      <c r="AX557" s="232">
        <f t="shared" si="247"/>
        <v>0.0399999999999991</v>
      </c>
      <c r="AY557" s="232">
        <f t="shared" si="248"/>
        <v>0.0399999999999991</v>
      </c>
      <c r="AZ557" s="232">
        <f t="shared" si="249"/>
        <v>0.0999999999999996</v>
      </c>
    </row>
    <row r="558" spans="1:52">
      <c r="A558" s="269"/>
      <c r="C558" s="19">
        <v>435</v>
      </c>
      <c r="D558" s="86">
        <f ca="1" t="shared" si="273"/>
        <v>263.57012802919</v>
      </c>
      <c r="E558" s="251">
        <f ca="1" t="shared" si="250"/>
        <v>0.361163185062167</v>
      </c>
      <c r="F558" s="269">
        <f ca="1" t="shared" si="266"/>
        <v>487.825888838171</v>
      </c>
      <c r="G558" s="283">
        <f ca="1" t="shared" si="267"/>
        <v>176.184751768577</v>
      </c>
      <c r="H558" s="279">
        <f ca="1" t="shared" si="268"/>
        <v>0.191273076081387</v>
      </c>
      <c r="I558" s="269">
        <f ca="1">SUM($J$125:J558)/SUM($H$125:H558)</f>
        <v>0.482456025910293</v>
      </c>
      <c r="J558" s="284">
        <f t="shared" si="274"/>
        <v>0.0562942704257239</v>
      </c>
      <c r="K558" s="19">
        <f t="shared" si="276"/>
        <v>44400</v>
      </c>
      <c r="L558" s="269">
        <f t="shared" si="269"/>
        <v>3.21999999999995</v>
      </c>
      <c r="M558" s="226">
        <f ca="1" t="shared" si="270"/>
        <v>464.64</v>
      </c>
      <c r="N558" s="280">
        <f ca="1" t="shared" si="275"/>
        <v>0.134978805655678</v>
      </c>
      <c r="O558" s="226">
        <f t="shared" si="280"/>
        <v>211.2</v>
      </c>
      <c r="P558" s="19">
        <f ca="1" t="shared" si="244"/>
        <v>13</v>
      </c>
      <c r="Q558" s="226">
        <f ca="1" t="shared" si="279"/>
        <v>2.2</v>
      </c>
      <c r="R558" s="269">
        <f ca="1" t="shared" si="251"/>
        <v>0.882344930540643</v>
      </c>
      <c r="S558" s="266">
        <f ca="1" t="shared" si="252"/>
        <v>82.8917927863382</v>
      </c>
      <c r="T558" s="226">
        <f ca="1">(1+OFFSET('玩法产出(新)'!$C$18,MATCH(X558,'玩法产出(新)'!$B$19:$B$25,0),1)*(1-V558)+OFFSET('玩法产出(新)'!$C$18,1+MATCH(X558,'玩法产出(新)'!$B$19:$B$25,0),1)*(V558))^AA558*(1+OFFSET('玩法产出(新)'!$C$18,MATCH(X558,'玩法产出(新)'!$B$19:$B$25,0),3)*(1-V558)+OFFSET('玩法产出(新)'!$C$18,1+MATCH(X558,'玩法产出(新)'!$B$19:$B$25,0),3)*(V558))^AB558*(1+OFFSET('玩法产出(新)'!$C$18,MATCH(X558,'玩法产出(新)'!$B$19:$B$25,0),4)*(1-V558)+OFFSET('玩法产出(新)'!$C$18,1+MATCH(X558,'玩法产出(新)'!$B$19:$B$25,0),4)*(V558))^AC558*(1+OFFSET('玩法产出(新)'!$C$18,MATCH(X558,'玩法产出(新)'!$B$19:$B$25,0),5)*(1+V558)+OFFSET('玩法产出(新)'!$C$18,1+MATCH(X558,'玩法产出(新)'!$B$19:$B$25,5),1)*(V558))^AD558*(1+OFFSET('玩法产出(新)'!$C$18,MATCH(X558,'玩法产出(新)'!$B$19:$B$25,0),6)*(1+V558)+OFFSET('玩法产出(新)'!$C$18,1+MATCH(X558,'玩法产出(新)'!$B$19:$B$25,0),6)*(V558))^AE558</f>
        <v>272.693013418314</v>
      </c>
      <c r="U558" s="226">
        <f ca="1" t="shared" si="271"/>
        <v>0.169890108980766</v>
      </c>
      <c r="V558" s="226">
        <f ca="1">COUNTIF($X$124:$X558,X558)/(COUNTIF($X$124:$X$723,X558)+1)</f>
        <v>0.657731958762887</v>
      </c>
      <c r="W558" s="19">
        <v>30</v>
      </c>
      <c r="X558" s="19" t="s">
        <v>326</v>
      </c>
      <c r="Y558" s="19">
        <f t="shared" si="277"/>
        <v>44660</v>
      </c>
      <c r="Z558" s="19">
        <f ca="1" t="shared" si="253"/>
        <v>0</v>
      </c>
      <c r="AA558" s="282">
        <f ca="1" t="shared" si="254"/>
        <v>0</v>
      </c>
      <c r="AB558" s="282">
        <f ca="1" t="shared" si="255"/>
        <v>18</v>
      </c>
      <c r="AC558" s="282">
        <f ca="1" t="shared" si="256"/>
        <v>9.20025</v>
      </c>
      <c r="AD558" s="282">
        <f ca="1" t="shared" si="257"/>
        <v>2.3000625</v>
      </c>
      <c r="AE558" s="282">
        <f ca="1" t="shared" si="258"/>
        <v>0.575015625</v>
      </c>
      <c r="AF558" s="19" t="str">
        <f t="shared" si="259"/>
        <v>彩4</v>
      </c>
      <c r="AG558" s="19">
        <f>IFERROR(_xlfn.XLOOKUP(C558+1,[2]基因升级!$E$141:$E$500,[2]基因升级!$D$141:$D$500)-1,AG557)</f>
        <v>111</v>
      </c>
      <c r="AH558" s="19">
        <v>8</v>
      </c>
      <c r="AI558" s="19">
        <f t="shared" si="260"/>
        <v>10.5142500606751</v>
      </c>
      <c r="AJ558" s="19">
        <f t="shared" si="272"/>
        <v>0</v>
      </c>
      <c r="AK558" s="269">
        <v>2.0368</v>
      </c>
      <c r="AL558" s="287">
        <f t="shared" si="281"/>
        <v>19.0399999999998</v>
      </c>
      <c r="AM558" s="287">
        <f t="shared" si="282"/>
        <v>15.4399999999998</v>
      </c>
      <c r="AN558" s="287">
        <f t="shared" si="284"/>
        <v>11.8399999999999</v>
      </c>
      <c r="AO558" s="287">
        <f t="shared" si="278"/>
        <v>8.23999999999999</v>
      </c>
      <c r="AP558" s="287">
        <f t="shared" si="283"/>
        <v>4.55</v>
      </c>
      <c r="AQ558" s="19">
        <f t="shared" si="261"/>
        <v>3.62632836587866</v>
      </c>
      <c r="AR558" s="19">
        <f t="shared" si="262"/>
        <v>2.84240217930021</v>
      </c>
      <c r="AS558" s="19">
        <f t="shared" si="263"/>
        <v>2.22794224177572</v>
      </c>
      <c r="AT558" s="19">
        <f t="shared" si="264"/>
        <v>1.74631396951387</v>
      </c>
      <c r="AU558" s="19">
        <f t="shared" si="265"/>
        <v>1.36049261429369</v>
      </c>
      <c r="AV558" s="232">
        <f t="shared" si="245"/>
        <v>0.0399999999999991</v>
      </c>
      <c r="AW558" s="232">
        <f t="shared" si="246"/>
        <v>0.0399999999999991</v>
      </c>
      <c r="AX558" s="232">
        <f t="shared" si="247"/>
        <v>0.0399999999999991</v>
      </c>
      <c r="AY558" s="232">
        <f t="shared" si="248"/>
        <v>0.0399999999999991</v>
      </c>
      <c r="AZ558" s="232">
        <f t="shared" si="249"/>
        <v>0.0499999999999998</v>
      </c>
    </row>
    <row r="559" spans="1:52">
      <c r="A559" s="269"/>
      <c r="C559" s="19">
        <v>436</v>
      </c>
      <c r="D559" s="86">
        <f ca="1" t="shared" si="273"/>
        <v>263.930110423656</v>
      </c>
      <c r="E559" s="251">
        <f ca="1" t="shared" si="250"/>
        <v>0.359982394466471</v>
      </c>
      <c r="F559" s="269">
        <f ca="1" t="shared" si="266"/>
        <v>489.953662734267</v>
      </c>
      <c r="G559" s="283">
        <f ca="1" t="shared" si="267"/>
        <v>176.374692688699</v>
      </c>
      <c r="H559" s="279">
        <f ca="1" t="shared" si="268"/>
        <v>0.189940920122382</v>
      </c>
      <c r="I559" s="269">
        <f ca="1">SUM($J$125:J559)/SUM($H$125:H559)</f>
        <v>0.482242925696328</v>
      </c>
      <c r="J559" s="284">
        <f t="shared" si="274"/>
        <v>0.0561836588696423</v>
      </c>
      <c r="K559" s="19">
        <f t="shared" si="276"/>
        <v>44500</v>
      </c>
      <c r="L559" s="269">
        <f t="shared" si="269"/>
        <v>3.22499999999995</v>
      </c>
      <c r="M559" s="226">
        <f ca="1" t="shared" si="270"/>
        <v>468.864</v>
      </c>
      <c r="N559" s="280">
        <f ca="1" t="shared" si="275"/>
        <v>0.133757261252711</v>
      </c>
      <c r="O559" s="226">
        <f t="shared" si="280"/>
        <v>211.2</v>
      </c>
      <c r="P559" s="19">
        <f ca="1" t="shared" si="244"/>
        <v>13.2</v>
      </c>
      <c r="Q559" s="226">
        <f ca="1" t="shared" si="279"/>
        <v>2.22</v>
      </c>
      <c r="R559" s="269">
        <f ca="1" t="shared" si="251"/>
        <v>0.884154943665295</v>
      </c>
      <c r="S559" s="266">
        <f ca="1" t="shared" si="252"/>
        <v>83.0618342606823</v>
      </c>
      <c r="T559" s="226">
        <f ca="1">(1+OFFSET('玩法产出(新)'!$C$18,MATCH(X559,'玩法产出(新)'!$B$19:$B$25,0),1)*(1-V559)+OFFSET('玩法产出(新)'!$C$18,1+MATCH(X559,'玩法产出(新)'!$B$19:$B$25,0),1)*(V559))^AA559*(1+OFFSET('玩法产出(新)'!$C$18,MATCH(X559,'玩法产出(新)'!$B$19:$B$25,0),3)*(1-V559)+OFFSET('玩法产出(新)'!$C$18,1+MATCH(X559,'玩法产出(新)'!$B$19:$B$25,0),3)*(V559))^AB559*(1+OFFSET('玩法产出(新)'!$C$18,MATCH(X559,'玩法产出(新)'!$B$19:$B$25,0),4)*(1-V559)+OFFSET('玩法产出(新)'!$C$18,1+MATCH(X559,'玩法产出(新)'!$B$19:$B$25,0),4)*(V559))^AC559*(1+OFFSET('玩法产出(新)'!$C$18,MATCH(X559,'玩法产出(新)'!$B$19:$B$25,0),5)*(1+V559)+OFFSET('玩法产出(新)'!$C$18,1+MATCH(X559,'玩法产出(新)'!$B$19:$B$25,5),1)*(V559))^AD559*(1+OFFSET('玩法产出(新)'!$C$18,MATCH(X559,'玩法产出(新)'!$B$19:$B$25,0),6)*(1+V559)+OFFSET('玩法产出(新)'!$C$18,1+MATCH(X559,'玩法产出(新)'!$B$19:$B$25,0),6)*(V559))^AE559</f>
        <v>275.848401761546</v>
      </c>
      <c r="U559" s="226">
        <f ca="1" t="shared" si="271"/>
        <v>0.170041474344117</v>
      </c>
      <c r="V559" s="226">
        <f ca="1">COUNTIF($X$124:$X559,X559)/(COUNTIF($X$124:$X$723,X559)+1)</f>
        <v>0.65979381443299</v>
      </c>
      <c r="W559" s="19">
        <v>30</v>
      </c>
      <c r="X559" s="19" t="s">
        <v>326</v>
      </c>
      <c r="Y559" s="19">
        <f t="shared" si="277"/>
        <v>44760</v>
      </c>
      <c r="Z559" s="19">
        <f ca="1" t="shared" si="253"/>
        <v>0</v>
      </c>
      <c r="AA559" s="282">
        <f ca="1" t="shared" si="254"/>
        <v>0</v>
      </c>
      <c r="AB559" s="282">
        <f ca="1" t="shared" si="255"/>
        <v>18</v>
      </c>
      <c r="AC559" s="282">
        <f ca="1" t="shared" si="256"/>
        <v>9.2211</v>
      </c>
      <c r="AD559" s="282">
        <f ca="1" t="shared" si="257"/>
        <v>2.305275</v>
      </c>
      <c r="AE559" s="282">
        <f ca="1" t="shared" si="258"/>
        <v>0.57631875</v>
      </c>
      <c r="AF559" s="19" t="str">
        <f t="shared" si="259"/>
        <v>彩4</v>
      </c>
      <c r="AG559" s="19">
        <f>IFERROR(_xlfn.XLOOKUP(C559+1,[2]基因升级!$E$141:$E$500,[2]基因升级!$D$141:$D$500)-1,AG558)</f>
        <v>111</v>
      </c>
      <c r="AH559" s="19">
        <v>8</v>
      </c>
      <c r="AI559" s="19">
        <f t="shared" si="260"/>
        <v>10.5142500606751</v>
      </c>
      <c r="AJ559" s="19">
        <f t="shared" si="272"/>
        <v>0</v>
      </c>
      <c r="AK559" s="269">
        <v>2.0368</v>
      </c>
      <c r="AL559" s="287">
        <f t="shared" si="281"/>
        <v>19.0799999999998</v>
      </c>
      <c r="AM559" s="287">
        <f t="shared" si="282"/>
        <v>15.4799999999998</v>
      </c>
      <c r="AN559" s="287">
        <f t="shared" si="284"/>
        <v>11.8799999999999</v>
      </c>
      <c r="AO559" s="287">
        <f t="shared" si="278"/>
        <v>8.27999999999999</v>
      </c>
      <c r="AP559" s="287">
        <f t="shared" si="283"/>
        <v>4.6</v>
      </c>
      <c r="AQ559" s="19">
        <f t="shared" si="261"/>
        <v>3.63615575708687</v>
      </c>
      <c r="AR559" s="19">
        <f t="shared" si="262"/>
        <v>2.85010512160679</v>
      </c>
      <c r="AS559" s="19">
        <f t="shared" si="263"/>
        <v>2.23397999064735</v>
      </c>
      <c r="AT559" s="19">
        <f t="shared" si="264"/>
        <v>1.75104650027756</v>
      </c>
      <c r="AU559" s="19">
        <f t="shared" si="265"/>
        <v>1.3651028625532</v>
      </c>
      <c r="AV559" s="232">
        <f t="shared" si="245"/>
        <v>0.0399999999999991</v>
      </c>
      <c r="AW559" s="232">
        <f t="shared" si="246"/>
        <v>0.0399999999999991</v>
      </c>
      <c r="AX559" s="232">
        <f t="shared" si="247"/>
        <v>0.0399999999999991</v>
      </c>
      <c r="AY559" s="232">
        <f t="shared" si="248"/>
        <v>0.0399999999999991</v>
      </c>
      <c r="AZ559" s="232">
        <f t="shared" si="249"/>
        <v>0.0499999999999998</v>
      </c>
    </row>
    <row r="560" spans="1:52">
      <c r="A560" s="269"/>
      <c r="C560" s="19">
        <v>437</v>
      </c>
      <c r="D560" s="86">
        <f ca="1" t="shared" si="273"/>
        <v>264.288934313692</v>
      </c>
      <c r="E560" s="251">
        <f ca="1" t="shared" si="250"/>
        <v>0.358823890035296</v>
      </c>
      <c r="F560" s="269">
        <f ca="1" t="shared" si="266"/>
        <v>492.061227567798</v>
      </c>
      <c r="G560" s="283">
        <f ca="1" t="shared" si="267"/>
        <v>176.56332381142</v>
      </c>
      <c r="H560" s="279">
        <f ca="1" t="shared" si="268"/>
        <v>0.188631122721176</v>
      </c>
      <c r="I560" s="269">
        <f ca="1">SUM($J$125:J560)/SUM($H$125:H560)</f>
        <v>0.482033440622522</v>
      </c>
      <c r="J560" s="284">
        <f t="shared" si="274"/>
        <v>0.0560734943164221</v>
      </c>
      <c r="K560" s="19">
        <f t="shared" si="276"/>
        <v>44600</v>
      </c>
      <c r="L560" s="269">
        <f t="shared" si="269"/>
        <v>3.22999999999995</v>
      </c>
      <c r="M560" s="226">
        <f ca="1" t="shared" si="270"/>
        <v>473.088</v>
      </c>
      <c r="N560" s="280">
        <f ca="1" t="shared" si="275"/>
        <v>0.132557628404768</v>
      </c>
      <c r="O560" s="226">
        <f t="shared" si="280"/>
        <v>211.2</v>
      </c>
      <c r="P560" s="19">
        <f ca="1" t="shared" si="244"/>
        <v>13.4</v>
      </c>
      <c r="Q560" s="226">
        <f ca="1" t="shared" si="279"/>
        <v>2.24</v>
      </c>
      <c r="R560" s="269">
        <f ca="1" t="shared" si="251"/>
        <v>0.885966567233883</v>
      </c>
      <c r="S560" s="266">
        <f ca="1" t="shared" si="252"/>
        <v>83.2320270279964</v>
      </c>
      <c r="T560" s="226">
        <f ca="1">(1+OFFSET('玩法产出(新)'!$C$18,MATCH(X560,'玩法产出(新)'!$B$19:$B$25,0),1)*(1-V560)+OFFSET('玩法产出(新)'!$C$18,1+MATCH(X560,'玩法产出(新)'!$B$19:$B$25,0),1)*(V560))^AA560*(1+OFFSET('玩法产出(新)'!$C$18,MATCH(X560,'玩法产出(新)'!$B$19:$B$25,0),3)*(1-V560)+OFFSET('玩法产出(新)'!$C$18,1+MATCH(X560,'玩法产出(新)'!$B$19:$B$25,0),3)*(V560))^AB560*(1+OFFSET('玩法产出(新)'!$C$18,MATCH(X560,'玩法产出(新)'!$B$19:$B$25,0),4)*(1-V560)+OFFSET('玩法产出(新)'!$C$18,1+MATCH(X560,'玩法产出(新)'!$B$19:$B$25,0),4)*(V560))^AC560*(1+OFFSET('玩法产出(新)'!$C$18,MATCH(X560,'玩法产出(新)'!$B$19:$B$25,0),5)*(1+V560)+OFFSET('玩法产出(新)'!$C$18,1+MATCH(X560,'玩法产出(新)'!$B$19:$B$25,5),1)*(V560))^AD560*(1+OFFSET('玩法产出(新)'!$C$18,MATCH(X560,'玩法产出(新)'!$B$19:$B$25,0),6)*(1+V560)+OFFSET('玩法产出(新)'!$C$18,1+MATCH(X560,'玩法产出(新)'!$B$19:$B$25,0),6)*(V560))^AE560</f>
        <v>279.043158117154</v>
      </c>
      <c r="U560" s="226">
        <f ca="1" t="shared" si="271"/>
        <v>0.170192767314105</v>
      </c>
      <c r="V560" s="226">
        <f ca="1">COUNTIF($X$124:$X560,X560)/(COUNTIF($X$124:$X$723,X560)+1)</f>
        <v>0.661855670103093</v>
      </c>
      <c r="W560" s="19">
        <v>30</v>
      </c>
      <c r="X560" s="19" t="s">
        <v>326</v>
      </c>
      <c r="Y560" s="19">
        <f t="shared" si="277"/>
        <v>44860</v>
      </c>
      <c r="Z560" s="19">
        <f ca="1" t="shared" si="253"/>
        <v>0</v>
      </c>
      <c r="AA560" s="282">
        <f ca="1" t="shared" si="254"/>
        <v>0</v>
      </c>
      <c r="AB560" s="282">
        <f ca="1" t="shared" si="255"/>
        <v>18</v>
      </c>
      <c r="AC560" s="282">
        <f ca="1" t="shared" si="256"/>
        <v>9.24195</v>
      </c>
      <c r="AD560" s="282">
        <f ca="1" t="shared" si="257"/>
        <v>2.3104875</v>
      </c>
      <c r="AE560" s="282">
        <f ca="1" t="shared" si="258"/>
        <v>0.577621875</v>
      </c>
      <c r="AF560" s="19" t="str">
        <f t="shared" si="259"/>
        <v>彩4</v>
      </c>
      <c r="AG560" s="19">
        <f>IFERROR(_xlfn.XLOOKUP(C560+1,[2]基因升级!$E$141:$E$500,[2]基因升级!$D$141:$D$500)-1,AG559)</f>
        <v>112</v>
      </c>
      <c r="AH560" s="19">
        <v>8</v>
      </c>
      <c r="AI560" s="19">
        <f t="shared" si="260"/>
        <v>10.5142500606751</v>
      </c>
      <c r="AJ560" s="19">
        <f t="shared" si="272"/>
        <v>0</v>
      </c>
      <c r="AK560" s="269">
        <v>2.0368</v>
      </c>
      <c r="AL560" s="287">
        <f t="shared" si="281"/>
        <v>19.1199999999998</v>
      </c>
      <c r="AM560" s="287">
        <f t="shared" si="282"/>
        <v>15.5199999999998</v>
      </c>
      <c r="AN560" s="287">
        <f t="shared" si="284"/>
        <v>11.9199999999999</v>
      </c>
      <c r="AO560" s="287">
        <f t="shared" si="278"/>
        <v>8.31999999999999</v>
      </c>
      <c r="AP560" s="287">
        <f t="shared" si="283"/>
        <v>4.65</v>
      </c>
      <c r="AQ560" s="19">
        <f t="shared" si="261"/>
        <v>3.64600978063728</v>
      </c>
      <c r="AR560" s="19">
        <f t="shared" si="262"/>
        <v>2.85782893897482</v>
      </c>
      <c r="AS560" s="19">
        <f t="shared" si="263"/>
        <v>2.24003410188724</v>
      </c>
      <c r="AT560" s="19">
        <f t="shared" si="264"/>
        <v>1.75579185625357</v>
      </c>
      <c r="AU560" s="19">
        <f t="shared" si="265"/>
        <v>1.36972873338119</v>
      </c>
      <c r="AV560" s="232">
        <f t="shared" si="245"/>
        <v>0.0399999999999991</v>
      </c>
      <c r="AW560" s="232">
        <f t="shared" si="246"/>
        <v>0.0399999999999991</v>
      </c>
      <c r="AX560" s="232">
        <f t="shared" si="247"/>
        <v>0.0399999999999991</v>
      </c>
      <c r="AY560" s="232">
        <f t="shared" si="248"/>
        <v>0.0399999999999991</v>
      </c>
      <c r="AZ560" s="232">
        <f t="shared" si="249"/>
        <v>0.0499999999999998</v>
      </c>
    </row>
    <row r="561" spans="1:52">
      <c r="A561" s="269"/>
      <c r="C561" s="19">
        <v>438</v>
      </c>
      <c r="D561" s="86">
        <f ca="1" t="shared" si="273"/>
        <v>264.646621398448</v>
      </c>
      <c r="E561" s="251">
        <f ca="1" t="shared" si="250"/>
        <v>0.357687084756053</v>
      </c>
      <c r="F561" s="269">
        <f ca="1" t="shared" si="266"/>
        <v>494.148864862555</v>
      </c>
      <c r="G561" s="283">
        <f ca="1" t="shared" si="267"/>
        <v>176.7506669082</v>
      </c>
      <c r="H561" s="279">
        <f ca="1" t="shared" si="268"/>
        <v>0.187343096780239</v>
      </c>
      <c r="I561" s="269">
        <f ca="1">SUM($J$125:J561)/SUM($H$125:H561)</f>
        <v>0.481827493239148</v>
      </c>
      <c r="J561" s="284">
        <f t="shared" si="274"/>
        <v>0.055963773992147</v>
      </c>
      <c r="K561" s="19">
        <f t="shared" si="276"/>
        <v>44700</v>
      </c>
      <c r="L561" s="269">
        <f t="shared" si="269"/>
        <v>3.23499999999995</v>
      </c>
      <c r="M561" s="226">
        <f ca="1" t="shared" si="270"/>
        <v>477.312</v>
      </c>
      <c r="N561" s="280">
        <f ca="1" t="shared" si="275"/>
        <v>0.131379322788064</v>
      </c>
      <c r="O561" s="226">
        <f t="shared" si="280"/>
        <v>211.2</v>
      </c>
      <c r="P561" s="19">
        <f ca="1" t="shared" si="244"/>
        <v>13.6</v>
      </c>
      <c r="Q561" s="226">
        <f ca="1" t="shared" si="279"/>
        <v>2.26</v>
      </c>
      <c r="R561" s="269">
        <f ca="1" t="shared" si="251"/>
        <v>0.88777980047672</v>
      </c>
      <c r="S561" s="266">
        <f ca="1" t="shared" si="252"/>
        <v>83.4023710159723</v>
      </c>
      <c r="T561" s="226">
        <f ca="1">(1+OFFSET('玩法产出(新)'!$C$18,MATCH(X561,'玩法产出(新)'!$B$19:$B$25,0),1)*(1-V561)+OFFSET('玩法产出(新)'!$C$18,1+MATCH(X561,'玩法产出(新)'!$B$19:$B$25,0),1)*(V561))^AA561*(1+OFFSET('玩法产出(新)'!$C$18,MATCH(X561,'玩法产出(新)'!$B$19:$B$25,0),3)*(1-V561)+OFFSET('玩法产出(新)'!$C$18,1+MATCH(X561,'玩法产出(新)'!$B$19:$B$25,0),3)*(V561))^AB561*(1+OFFSET('玩法产出(新)'!$C$18,MATCH(X561,'玩法产出(新)'!$B$19:$B$25,0),4)*(1-V561)+OFFSET('玩法产出(新)'!$C$18,1+MATCH(X561,'玩法产出(新)'!$B$19:$B$25,0),4)*(V561))^AC561*(1+OFFSET('玩法产出(新)'!$C$18,MATCH(X561,'玩法产出(新)'!$B$19:$B$25,0),5)*(1+V561)+OFFSET('玩法产出(新)'!$C$18,1+MATCH(X561,'玩法产出(新)'!$B$19:$B$25,5),1)*(V561))^AD561*(1+OFFSET('玩法产出(新)'!$C$18,MATCH(X561,'玩法产出(新)'!$B$19:$B$25,0),6)*(1+V561)+OFFSET('玩法产出(新)'!$C$18,1+MATCH(X561,'玩法产出(新)'!$B$19:$B$25,0),6)*(V561))^AE561</f>
        <v>282.277802831283</v>
      </c>
      <c r="U561" s="226">
        <f ca="1" t="shared" si="271"/>
        <v>0.170343987975843</v>
      </c>
      <c r="V561" s="226">
        <f ca="1">COUNTIF($X$124:$X561,X561)/(COUNTIF($X$124:$X$723,X561)+1)</f>
        <v>0.663917525773196</v>
      </c>
      <c r="W561" s="19">
        <v>30</v>
      </c>
      <c r="X561" s="19" t="s">
        <v>326</v>
      </c>
      <c r="Y561" s="19">
        <f t="shared" si="277"/>
        <v>44960</v>
      </c>
      <c r="Z561" s="19">
        <f ca="1" t="shared" si="253"/>
        <v>0</v>
      </c>
      <c r="AA561" s="282">
        <f ca="1" t="shared" si="254"/>
        <v>0</v>
      </c>
      <c r="AB561" s="282">
        <f ca="1" t="shared" si="255"/>
        <v>18</v>
      </c>
      <c r="AC561" s="282">
        <f ca="1" t="shared" si="256"/>
        <v>9.2628</v>
      </c>
      <c r="AD561" s="282">
        <f ca="1" t="shared" si="257"/>
        <v>2.3157</v>
      </c>
      <c r="AE561" s="282">
        <f ca="1" t="shared" si="258"/>
        <v>0.578925</v>
      </c>
      <c r="AF561" s="19" t="str">
        <f t="shared" si="259"/>
        <v>彩4</v>
      </c>
      <c r="AG561" s="19">
        <f>IFERROR(_xlfn.XLOOKUP(C561+1,[2]基因升级!$E$141:$E$500,[2]基因升级!$D$141:$D$500)-1,AG560)</f>
        <v>112</v>
      </c>
      <c r="AH561" s="19">
        <v>8</v>
      </c>
      <c r="AI561" s="19">
        <f t="shared" si="260"/>
        <v>10.5142500606751</v>
      </c>
      <c r="AJ561" s="19">
        <f t="shared" si="272"/>
        <v>0</v>
      </c>
      <c r="AK561" s="269">
        <v>2.0368</v>
      </c>
      <c r="AL561" s="287">
        <f t="shared" si="281"/>
        <v>19.1599999999998</v>
      </c>
      <c r="AM561" s="287">
        <f t="shared" si="282"/>
        <v>15.5599999999998</v>
      </c>
      <c r="AN561" s="287">
        <f t="shared" si="284"/>
        <v>11.9599999999999</v>
      </c>
      <c r="AO561" s="287">
        <f t="shared" si="278"/>
        <v>8.35999999999999</v>
      </c>
      <c r="AP561" s="287">
        <f t="shared" si="283"/>
        <v>4.7</v>
      </c>
      <c r="AQ561" s="19">
        <f t="shared" si="261"/>
        <v>3.65589050870384</v>
      </c>
      <c r="AR561" s="19">
        <f t="shared" si="262"/>
        <v>2.86557368797596</v>
      </c>
      <c r="AS561" s="19">
        <f t="shared" si="263"/>
        <v>2.2461046198376</v>
      </c>
      <c r="AT561" s="19">
        <f t="shared" si="264"/>
        <v>1.76055007219837</v>
      </c>
      <c r="AU561" s="19">
        <f t="shared" si="265"/>
        <v>1.37437027971722</v>
      </c>
      <c r="AV561" s="232">
        <f t="shared" si="245"/>
        <v>0.0399999999999991</v>
      </c>
      <c r="AW561" s="232">
        <f t="shared" si="246"/>
        <v>0.0399999999999991</v>
      </c>
      <c r="AX561" s="232">
        <f t="shared" si="247"/>
        <v>0.0399999999999991</v>
      </c>
      <c r="AY561" s="232">
        <f t="shared" si="248"/>
        <v>0.0399999999999991</v>
      </c>
      <c r="AZ561" s="232">
        <f t="shared" si="249"/>
        <v>0.0499999999999998</v>
      </c>
    </row>
    <row r="562" spans="1:52">
      <c r="A562" s="269"/>
      <c r="C562" s="19">
        <v>439</v>
      </c>
      <c r="D562" s="86">
        <f ca="1" t="shared" si="273"/>
        <v>265.003192810681</v>
      </c>
      <c r="E562" s="251">
        <f ca="1" t="shared" si="250"/>
        <v>0.356571412232864</v>
      </c>
      <c r="F562" s="269">
        <f ca="1" t="shared" si="266"/>
        <v>496.216850577096</v>
      </c>
      <c r="G562" s="283">
        <f ca="1" t="shared" si="267"/>
        <v>176.936743184019</v>
      </c>
      <c r="H562" s="279">
        <f ca="1" t="shared" si="268"/>
        <v>0.186076275818863</v>
      </c>
      <c r="I562" s="269">
        <f ca="1">SUM($J$125:J562)/SUM($H$125:H562)</f>
        <v>0.481625008335357</v>
      </c>
      <c r="J562" s="284">
        <f t="shared" si="274"/>
        <v>0.0558544951463631</v>
      </c>
      <c r="K562" s="19">
        <f t="shared" si="276"/>
        <v>44800</v>
      </c>
      <c r="L562" s="269">
        <f t="shared" si="269"/>
        <v>3.23999999999995</v>
      </c>
      <c r="M562" s="226">
        <f ca="1" t="shared" si="270"/>
        <v>481.536</v>
      </c>
      <c r="N562" s="280">
        <f ca="1" t="shared" si="275"/>
        <v>0.1302217806725</v>
      </c>
      <c r="O562" s="226">
        <f t="shared" si="280"/>
        <v>211.2</v>
      </c>
      <c r="P562" s="19">
        <f ca="1" t="shared" si="244"/>
        <v>13.8</v>
      </c>
      <c r="Q562" s="226">
        <f ca="1" t="shared" si="279"/>
        <v>2.28</v>
      </c>
      <c r="R562" s="269">
        <f ca="1" t="shared" si="251"/>
        <v>0.889594642625019</v>
      </c>
      <c r="S562" s="266">
        <f ca="1" t="shared" si="252"/>
        <v>83.5728661523863</v>
      </c>
      <c r="T562" s="226">
        <f ca="1">(1+OFFSET('玩法产出(新)'!$C$18,MATCH(X562,'玩法产出(新)'!$B$19:$B$25,0),1)*(1-V562)+OFFSET('玩法产出(新)'!$C$18,1+MATCH(X562,'玩法产出(新)'!$B$19:$B$25,0),1)*(V562))^AA562*(1+OFFSET('玩法产出(新)'!$C$18,MATCH(X562,'玩法产出(新)'!$B$19:$B$25,0),3)*(1-V562)+OFFSET('玩法产出(新)'!$C$18,1+MATCH(X562,'玩法产出(新)'!$B$19:$B$25,0),3)*(V562))^AB562*(1+OFFSET('玩法产出(新)'!$C$18,MATCH(X562,'玩法产出(新)'!$B$19:$B$25,0),4)*(1-V562)+OFFSET('玩法产出(新)'!$C$18,1+MATCH(X562,'玩法产出(新)'!$B$19:$B$25,0),4)*(V562))^AC562*(1+OFFSET('玩法产出(新)'!$C$18,MATCH(X562,'玩法产出(新)'!$B$19:$B$25,0),5)*(1+V562)+OFFSET('玩法产出(新)'!$C$18,1+MATCH(X562,'玩法产出(新)'!$B$19:$B$25,5),1)*(V562))^AD562*(1+OFFSET('玩法产出(新)'!$C$18,MATCH(X562,'玩法产出(新)'!$B$19:$B$25,0),6)*(1+V562)+OFFSET('玩法产出(新)'!$C$18,1+MATCH(X562,'玩法产出(新)'!$B$19:$B$25,0),6)*(V562))^AE562</f>
        <v>285.552863464815</v>
      </c>
      <c r="U562" s="226">
        <f ca="1" t="shared" si="271"/>
        <v>0.170495136414001</v>
      </c>
      <c r="V562" s="226">
        <f ca="1">COUNTIF($X$124:$X562,X562)/(COUNTIF($X$124:$X$723,X562)+1)</f>
        <v>0.665979381443299</v>
      </c>
      <c r="W562" s="19">
        <v>30</v>
      </c>
      <c r="X562" s="19" t="s">
        <v>326</v>
      </c>
      <c r="Y562" s="19">
        <f t="shared" si="277"/>
        <v>45060</v>
      </c>
      <c r="Z562" s="19">
        <f ca="1" t="shared" si="253"/>
        <v>0</v>
      </c>
      <c r="AA562" s="282">
        <f ca="1" t="shared" si="254"/>
        <v>0</v>
      </c>
      <c r="AB562" s="282">
        <f ca="1" t="shared" si="255"/>
        <v>18</v>
      </c>
      <c r="AC562" s="282">
        <f ca="1" t="shared" si="256"/>
        <v>9.28365</v>
      </c>
      <c r="AD562" s="282">
        <f ca="1" t="shared" si="257"/>
        <v>2.3209125</v>
      </c>
      <c r="AE562" s="282">
        <f ca="1" t="shared" si="258"/>
        <v>0.580228125</v>
      </c>
      <c r="AF562" s="19" t="str">
        <f t="shared" si="259"/>
        <v>彩4</v>
      </c>
      <c r="AG562" s="19">
        <f>IFERROR(_xlfn.XLOOKUP(C562+1,[2]基因升级!$E$141:$E$500,[2]基因升级!$D$141:$D$500)-1,AG561)</f>
        <v>112</v>
      </c>
      <c r="AH562" s="19">
        <v>8</v>
      </c>
      <c r="AI562" s="19">
        <f t="shared" si="260"/>
        <v>10.5142500606751</v>
      </c>
      <c r="AJ562" s="19">
        <f t="shared" si="272"/>
        <v>0</v>
      </c>
      <c r="AK562" s="269">
        <v>2.0368</v>
      </c>
      <c r="AL562" s="287">
        <f t="shared" si="281"/>
        <v>19.1999999999998</v>
      </c>
      <c r="AM562" s="287">
        <f t="shared" si="282"/>
        <v>15.5999999999998</v>
      </c>
      <c r="AN562" s="287">
        <f t="shared" si="284"/>
        <v>11.9999999999999</v>
      </c>
      <c r="AO562" s="287">
        <f t="shared" si="278"/>
        <v>8.39999999999999</v>
      </c>
      <c r="AP562" s="287">
        <f t="shared" si="283"/>
        <v>4.75</v>
      </c>
      <c r="AQ562" s="19">
        <f t="shared" si="261"/>
        <v>3.66579801365608</v>
      </c>
      <c r="AR562" s="19">
        <f t="shared" si="262"/>
        <v>2.87333942533518</v>
      </c>
      <c r="AS562" s="19">
        <f t="shared" si="263"/>
        <v>2.25219158896081</v>
      </c>
      <c r="AT562" s="19">
        <f t="shared" si="264"/>
        <v>1.76532118296262</v>
      </c>
      <c r="AU562" s="19">
        <f t="shared" si="265"/>
        <v>1.3790275546803</v>
      </c>
      <c r="AV562" s="232">
        <f t="shared" si="245"/>
        <v>0.0399999999999991</v>
      </c>
      <c r="AW562" s="232">
        <f t="shared" si="246"/>
        <v>0.0399999999999991</v>
      </c>
      <c r="AX562" s="232">
        <f t="shared" si="247"/>
        <v>0.0399999999999991</v>
      </c>
      <c r="AY562" s="232">
        <f t="shared" si="248"/>
        <v>0.0399999999999991</v>
      </c>
      <c r="AZ562" s="232">
        <f t="shared" si="249"/>
        <v>0.0499999999999998</v>
      </c>
    </row>
    <row r="563" spans="1:52">
      <c r="A563" s="269"/>
      <c r="C563" s="19">
        <v>440</v>
      </c>
      <c r="D563" s="86">
        <f ca="1" t="shared" si="273"/>
        <v>265.358669136468</v>
      </c>
      <c r="E563" s="251">
        <f ca="1" t="shared" si="250"/>
        <v>0.355476325787063</v>
      </c>
      <c r="F563" s="269">
        <f ca="1" t="shared" si="266"/>
        <v>498.26545524495</v>
      </c>
      <c r="G563" s="283">
        <f ca="1" t="shared" si="267"/>
        <v>177.121573297093</v>
      </c>
      <c r="H563" s="279">
        <f ca="1" t="shared" si="268"/>
        <v>0.184830113073843</v>
      </c>
      <c r="I563" s="269">
        <f ca="1">SUM($J$125:J563)/SUM($H$125:H563)</f>
        <v>0.481425912856289</v>
      </c>
      <c r="J563" s="284">
        <f t="shared" si="274"/>
        <v>0.0557456550516946</v>
      </c>
      <c r="K563" s="19">
        <f t="shared" si="276"/>
        <v>44900</v>
      </c>
      <c r="L563" s="269">
        <f t="shared" si="269"/>
        <v>3.24499999999995</v>
      </c>
      <c r="M563" s="226">
        <f ca="1" t="shared" si="270"/>
        <v>485.76</v>
      </c>
      <c r="N563" s="280">
        <f ca="1" t="shared" si="275"/>
        <v>0.129084458022163</v>
      </c>
      <c r="O563" s="226">
        <f t="shared" si="280"/>
        <v>211.2</v>
      </c>
      <c r="P563" s="19">
        <f ca="1" t="shared" si="244"/>
        <v>14</v>
      </c>
      <c r="Q563" s="226">
        <f ca="1" t="shared" si="279"/>
        <v>2.3</v>
      </c>
      <c r="R563" s="269">
        <f ca="1" t="shared" si="251"/>
        <v>0.891411092910895</v>
      </c>
      <c r="S563" s="266">
        <f ca="1" t="shared" si="252"/>
        <v>83.7435123650995</v>
      </c>
      <c r="T563" s="226">
        <f ca="1">(1+OFFSET('玩法产出(新)'!$C$18,MATCH(X563,'玩法产出(新)'!$B$19:$B$25,0),1)*(1-V563)+OFFSET('玩法产出(新)'!$C$18,1+MATCH(X563,'玩法产出(新)'!$B$19:$B$25,0),1)*(V563))^AA563*(1+OFFSET('玩法产出(新)'!$C$18,MATCH(X563,'玩法产出(新)'!$B$19:$B$25,0),3)*(1-V563)+OFFSET('玩法产出(新)'!$C$18,1+MATCH(X563,'玩法产出(新)'!$B$19:$B$25,0),3)*(V563))^AB563*(1+OFFSET('玩法产出(新)'!$C$18,MATCH(X563,'玩法产出(新)'!$B$19:$B$25,0),4)*(1-V563)+OFFSET('玩法产出(新)'!$C$18,1+MATCH(X563,'玩法产出(新)'!$B$19:$B$25,0),4)*(V563))^AC563*(1+OFFSET('玩法产出(新)'!$C$18,MATCH(X563,'玩法产出(新)'!$B$19:$B$25,0),5)*(1+V563)+OFFSET('玩法产出(新)'!$C$18,1+MATCH(X563,'玩法产出(新)'!$B$19:$B$25,5),1)*(V563))^AD563*(1+OFFSET('玩法产出(新)'!$C$18,MATCH(X563,'玩法产出(新)'!$B$19:$B$25,0),6)*(1+V563)+OFFSET('玩法产出(新)'!$C$18,1+MATCH(X563,'玩法产出(新)'!$B$19:$B$25,0),6)*(V563))^AE563</f>
        <v>288.868874897603</v>
      </c>
      <c r="U563" s="226">
        <f ca="1" t="shared" si="271"/>
        <v>0.170646212713205</v>
      </c>
      <c r="V563" s="226">
        <f ca="1">COUNTIF($X$124:$X563,X563)/(COUNTIF($X$124:$X$723,X563)+1)</f>
        <v>0.668041237113402</v>
      </c>
      <c r="W563" s="19">
        <v>30</v>
      </c>
      <c r="X563" s="19" t="s">
        <v>326</v>
      </c>
      <c r="Y563" s="19">
        <f t="shared" si="277"/>
        <v>45160</v>
      </c>
      <c r="Z563" s="19">
        <f ca="1" t="shared" si="253"/>
        <v>0</v>
      </c>
      <c r="AA563" s="282">
        <f ca="1" t="shared" si="254"/>
        <v>0</v>
      </c>
      <c r="AB563" s="282">
        <f ca="1" t="shared" si="255"/>
        <v>18</v>
      </c>
      <c r="AC563" s="282">
        <f ca="1" t="shared" si="256"/>
        <v>9.3045</v>
      </c>
      <c r="AD563" s="282">
        <f ca="1" t="shared" si="257"/>
        <v>2.326125</v>
      </c>
      <c r="AE563" s="282">
        <f ca="1" t="shared" si="258"/>
        <v>0.58153125</v>
      </c>
      <c r="AF563" s="19" t="str">
        <f t="shared" si="259"/>
        <v>彩4</v>
      </c>
      <c r="AG563" s="19">
        <f>IFERROR(_xlfn.XLOOKUP(C563+1,[2]基因升级!$E$141:$E$500,[2]基因升级!$D$141:$D$500)-1,AG562)</f>
        <v>112</v>
      </c>
      <c r="AH563" s="19">
        <v>8</v>
      </c>
      <c r="AI563" s="19">
        <f t="shared" si="260"/>
        <v>10.5142500606751</v>
      </c>
      <c r="AJ563" s="19">
        <f t="shared" si="272"/>
        <v>0</v>
      </c>
      <c r="AK563" s="269">
        <v>2.0368</v>
      </c>
      <c r="AL563" s="287">
        <f t="shared" si="281"/>
        <v>19.2399999999998</v>
      </c>
      <c r="AM563" s="287">
        <f t="shared" si="282"/>
        <v>15.6399999999998</v>
      </c>
      <c r="AN563" s="287">
        <f t="shared" si="284"/>
        <v>12.0399999999999</v>
      </c>
      <c r="AO563" s="287">
        <f t="shared" si="278"/>
        <v>8.43999999999999</v>
      </c>
      <c r="AP563" s="287">
        <f t="shared" si="283"/>
        <v>4.8</v>
      </c>
      <c r="AQ563" s="19">
        <f t="shared" si="261"/>
        <v>3.67573236805969</v>
      </c>
      <c r="AR563" s="19">
        <f t="shared" si="262"/>
        <v>2.88112620793116</v>
      </c>
      <c r="AS563" s="19">
        <f t="shared" si="263"/>
        <v>2.25829505383973</v>
      </c>
      <c r="AT563" s="19">
        <f t="shared" si="264"/>
        <v>1.77010522349142</v>
      </c>
      <c r="AU563" s="19">
        <f t="shared" si="265"/>
        <v>1.3837006115694</v>
      </c>
      <c r="AV563" s="232">
        <f t="shared" si="245"/>
        <v>0.0399999999999991</v>
      </c>
      <c r="AW563" s="232">
        <f t="shared" si="246"/>
        <v>0.0399999999999991</v>
      </c>
      <c r="AX563" s="232">
        <f t="shared" si="247"/>
        <v>0.0399999999999991</v>
      </c>
      <c r="AY563" s="232">
        <f t="shared" si="248"/>
        <v>0.0399999999999991</v>
      </c>
      <c r="AZ563" s="232">
        <f t="shared" si="249"/>
        <v>0.0499999999999998</v>
      </c>
    </row>
    <row r="564" spans="1:52">
      <c r="A564" s="269"/>
      <c r="C564" s="19">
        <v>441</v>
      </c>
      <c r="D564" s="86">
        <f ca="1" t="shared" si="273"/>
        <v>265.713070434072</v>
      </c>
      <c r="E564" s="251">
        <f ca="1" t="shared" si="250"/>
        <v>0.354401297604414</v>
      </c>
      <c r="F564" s="269">
        <f ca="1" t="shared" si="266"/>
        <v>500.294944110642</v>
      </c>
      <c r="G564" s="283">
        <f ca="1" t="shared" si="267"/>
        <v>177.30517737774</v>
      </c>
      <c r="H564" s="279">
        <f ca="1" t="shared" si="268"/>
        <v>0.183604080646489</v>
      </c>
      <c r="I564" s="269">
        <f ca="1">SUM($J$125:J564)/SUM($H$125:H564)</f>
        <v>0.481230135823928</v>
      </c>
      <c r="J564" s="284">
        <f t="shared" si="274"/>
        <v>0.0556372510036311</v>
      </c>
      <c r="K564" s="19">
        <f t="shared" si="276"/>
        <v>45000</v>
      </c>
      <c r="L564" s="269">
        <f t="shared" si="269"/>
        <v>3.24999999999995</v>
      </c>
      <c r="M564" s="226">
        <f ca="1" t="shared" si="270"/>
        <v>489.984</v>
      </c>
      <c r="N564" s="280">
        <f ca="1" t="shared" si="275"/>
        <v>0.127966829642858</v>
      </c>
      <c r="O564" s="226">
        <f t="shared" si="280"/>
        <v>211.2</v>
      </c>
      <c r="P564" s="19">
        <f ca="1" t="shared" si="244"/>
        <v>14.2</v>
      </c>
      <c r="Q564" s="226">
        <f ca="1" t="shared" si="279"/>
        <v>2.32</v>
      </c>
      <c r="R564" s="269">
        <f ca="1" t="shared" si="251"/>
        <v>0.893229150567359</v>
      </c>
      <c r="S564" s="266">
        <f ca="1" t="shared" si="252"/>
        <v>83.9143095820574</v>
      </c>
      <c r="T564" s="226">
        <f ca="1">(1+OFFSET('玩法产出(新)'!$C$18,MATCH(X564,'玩法产出(新)'!$B$19:$B$25,0),1)*(1-V564)+OFFSET('玩法产出(新)'!$C$18,1+MATCH(X564,'玩法产出(新)'!$B$19:$B$25,0),1)*(V564))^AA564*(1+OFFSET('玩法产出(新)'!$C$18,MATCH(X564,'玩法产出(新)'!$B$19:$B$25,0),3)*(1-V564)+OFFSET('玩法产出(新)'!$C$18,1+MATCH(X564,'玩法产出(新)'!$B$19:$B$25,0),3)*(V564))^AB564*(1+OFFSET('玩法产出(新)'!$C$18,MATCH(X564,'玩法产出(新)'!$B$19:$B$25,0),4)*(1-V564)+OFFSET('玩法产出(新)'!$C$18,1+MATCH(X564,'玩法产出(新)'!$B$19:$B$25,0),4)*(V564))^AC564*(1+OFFSET('玩法产出(新)'!$C$18,MATCH(X564,'玩法产出(新)'!$B$19:$B$25,0),5)*(1+V564)+OFFSET('玩法产出(新)'!$C$18,1+MATCH(X564,'玩法产出(新)'!$B$19:$B$25,5),1)*(V564))^AD564*(1+OFFSET('玩法产出(新)'!$C$18,MATCH(X564,'玩法产出(新)'!$B$19:$B$25,0),6)*(1+V564)+OFFSET('玩法产出(新)'!$C$18,1+MATCH(X564,'玩法产出(新)'!$B$19:$B$25,0),6)*(V564))^AE564</f>
        <v>292.226379434262</v>
      </c>
      <c r="U564" s="226">
        <f ca="1" t="shared" si="271"/>
        <v>0.170797216957925</v>
      </c>
      <c r="V564" s="226">
        <f ca="1">COUNTIF($X$124:$X564,X564)/(COUNTIF($X$124:$X$723,X564)+1)</f>
        <v>0.670103092783505</v>
      </c>
      <c r="W564" s="19">
        <v>30</v>
      </c>
      <c r="X564" s="19" t="s">
        <v>326</v>
      </c>
      <c r="Y564" s="19">
        <f t="shared" si="277"/>
        <v>45260</v>
      </c>
      <c r="Z564" s="19">
        <f ca="1" t="shared" si="253"/>
        <v>0</v>
      </c>
      <c r="AA564" s="282">
        <f ca="1" t="shared" si="254"/>
        <v>0</v>
      </c>
      <c r="AB564" s="282">
        <f ca="1" t="shared" si="255"/>
        <v>18</v>
      </c>
      <c r="AC564" s="282">
        <f ca="1" t="shared" si="256"/>
        <v>9.32535</v>
      </c>
      <c r="AD564" s="282">
        <f ca="1" t="shared" si="257"/>
        <v>2.3313375</v>
      </c>
      <c r="AE564" s="282">
        <f ca="1" t="shared" si="258"/>
        <v>0.582834375</v>
      </c>
      <c r="AF564" s="19" t="str">
        <f t="shared" si="259"/>
        <v>彩4</v>
      </c>
      <c r="AG564" s="19">
        <f>IFERROR(_xlfn.XLOOKUP(C564+1,[2]基因升级!$E$141:$E$500,[2]基因升级!$D$141:$D$500)-1,AG563)</f>
        <v>112</v>
      </c>
      <c r="AH564" s="19">
        <v>8</v>
      </c>
      <c r="AI564" s="19">
        <f t="shared" si="260"/>
        <v>10.5142500606751</v>
      </c>
      <c r="AJ564" s="19">
        <f t="shared" si="272"/>
        <v>0</v>
      </c>
      <c r="AK564" s="269">
        <v>2.0368</v>
      </c>
      <c r="AL564" s="287">
        <f t="shared" si="281"/>
        <v>19.2799999999998</v>
      </c>
      <c r="AM564" s="287">
        <f t="shared" si="282"/>
        <v>15.6799999999998</v>
      </c>
      <c r="AN564" s="287">
        <f t="shared" si="284"/>
        <v>12.0799999999999</v>
      </c>
      <c r="AO564" s="287">
        <f t="shared" si="278"/>
        <v>8.47999999999999</v>
      </c>
      <c r="AP564" s="287">
        <f t="shared" si="283"/>
        <v>4.85</v>
      </c>
      <c r="AQ564" s="19">
        <f t="shared" si="261"/>
        <v>3.68569364467697</v>
      </c>
      <c r="AR564" s="19">
        <f t="shared" si="262"/>
        <v>2.88893409279674</v>
      </c>
      <c r="AS564" s="19">
        <f t="shared" si="263"/>
        <v>2.26441505917804</v>
      </c>
      <c r="AT564" s="19">
        <f t="shared" si="264"/>
        <v>1.77490222882459</v>
      </c>
      <c r="AU564" s="19">
        <f t="shared" si="265"/>
        <v>1.38838950386411</v>
      </c>
      <c r="AV564" s="232">
        <f t="shared" si="245"/>
        <v>0.0399999999999991</v>
      </c>
      <c r="AW564" s="232">
        <f t="shared" si="246"/>
        <v>0.0399999999999991</v>
      </c>
      <c r="AX564" s="232">
        <f t="shared" si="247"/>
        <v>0.0399999999999991</v>
      </c>
      <c r="AY564" s="232">
        <f t="shared" si="248"/>
        <v>0.0399999999999991</v>
      </c>
      <c r="AZ564" s="232">
        <f t="shared" si="249"/>
        <v>0.0499999999999998</v>
      </c>
    </row>
    <row r="565" spans="1:52">
      <c r="A565" s="269"/>
      <c r="C565" s="19">
        <v>442</v>
      </c>
      <c r="D565" s="86">
        <f ca="1" t="shared" si="273"/>
        <v>266.066416251998</v>
      </c>
      <c r="E565" s="251">
        <f ca="1" t="shared" si="250"/>
        <v>0.353345817926079</v>
      </c>
      <c r="F565" s="269">
        <f ca="1" t="shared" si="266"/>
        <v>502.305577261888</v>
      </c>
      <c r="G565" s="283">
        <f ca="1" t="shared" si="267"/>
        <v>177.487575046433</v>
      </c>
      <c r="H565" s="279">
        <f ca="1" t="shared" si="268"/>
        <v>0.18239766869371</v>
      </c>
      <c r="I565" s="269">
        <f ca="1">SUM($J$125:J565)/SUM($H$125:H565)</f>
        <v>0.481037608261509</v>
      </c>
      <c r="J565" s="284">
        <f t="shared" si="274"/>
        <v>0.0555292803203571</v>
      </c>
      <c r="K565" s="19">
        <f t="shared" si="276"/>
        <v>45100</v>
      </c>
      <c r="L565" s="269">
        <f t="shared" si="269"/>
        <v>3.25499999999995</v>
      </c>
      <c r="M565" s="226">
        <f ca="1" t="shared" si="270"/>
        <v>494.208</v>
      </c>
      <c r="N565" s="280">
        <f ca="1" t="shared" si="275"/>
        <v>0.126868388373339</v>
      </c>
      <c r="O565" s="226">
        <f t="shared" si="280"/>
        <v>211.2</v>
      </c>
      <c r="P565" s="19">
        <f ca="1" t="shared" si="244"/>
        <v>14.4</v>
      </c>
      <c r="Q565" s="226">
        <f ca="1" t="shared" si="279"/>
        <v>2.34</v>
      </c>
      <c r="R565" s="269">
        <f ca="1" t="shared" si="251"/>
        <v>0.895048814828323</v>
      </c>
      <c r="S565" s="266">
        <f ca="1" t="shared" si="252"/>
        <v>84.0852577312898</v>
      </c>
      <c r="T565" s="226">
        <f ca="1">(1+OFFSET('玩法产出(新)'!$C$18,MATCH(X565,'玩法产出(新)'!$B$19:$B$25,0),1)*(1-V565)+OFFSET('玩法产出(新)'!$C$18,1+MATCH(X565,'玩法产出(新)'!$B$19:$B$25,0),1)*(V565))^AA565*(1+OFFSET('玩法产出(新)'!$C$18,MATCH(X565,'玩法产出(新)'!$B$19:$B$25,0),3)*(1-V565)+OFFSET('玩法产出(新)'!$C$18,1+MATCH(X565,'玩法产出(新)'!$B$19:$B$25,0),3)*(V565))^AB565*(1+OFFSET('玩法产出(新)'!$C$18,MATCH(X565,'玩法产出(新)'!$B$19:$B$25,0),4)*(1-V565)+OFFSET('玩法产出(新)'!$C$18,1+MATCH(X565,'玩法产出(新)'!$B$19:$B$25,0),4)*(V565))^AC565*(1+OFFSET('玩法产出(新)'!$C$18,MATCH(X565,'玩法产出(新)'!$B$19:$B$25,0),5)*(1+V565)+OFFSET('玩法产出(新)'!$C$18,1+MATCH(X565,'玩法产出(新)'!$B$19:$B$25,5),1)*(V565))^AD565*(1+OFFSET('玩法产出(新)'!$C$18,MATCH(X565,'玩法产出(新)'!$B$19:$B$25,0),6)*(1+V565)+OFFSET('玩法产出(新)'!$C$18,1+MATCH(X565,'玩法产出(新)'!$B$19:$B$25,0),6)*(V565))^AE565</f>
        <v>295.625926911546</v>
      </c>
      <c r="U565" s="226">
        <f ca="1" t="shared" si="271"/>
        <v>0.170948149232384</v>
      </c>
      <c r="V565" s="226">
        <f ca="1">COUNTIF($X$124:$X565,X565)/(COUNTIF($X$124:$X$723,X565)+1)</f>
        <v>0.672164948453608</v>
      </c>
      <c r="W565" s="19">
        <v>30</v>
      </c>
      <c r="X565" s="19" t="s">
        <v>326</v>
      </c>
      <c r="Y565" s="19">
        <f t="shared" si="277"/>
        <v>45360</v>
      </c>
      <c r="Z565" s="19">
        <f ca="1" t="shared" si="253"/>
        <v>0</v>
      </c>
      <c r="AA565" s="282">
        <f ca="1" t="shared" si="254"/>
        <v>0</v>
      </c>
      <c r="AB565" s="282">
        <f ca="1" t="shared" si="255"/>
        <v>18</v>
      </c>
      <c r="AC565" s="282">
        <f ca="1" t="shared" si="256"/>
        <v>9.3462</v>
      </c>
      <c r="AD565" s="282">
        <f ca="1" t="shared" si="257"/>
        <v>2.33655</v>
      </c>
      <c r="AE565" s="282">
        <f ca="1" t="shared" si="258"/>
        <v>0.5841375</v>
      </c>
      <c r="AF565" s="19" t="str">
        <f t="shared" si="259"/>
        <v>彩4</v>
      </c>
      <c r="AG565" s="19">
        <f>IFERROR(_xlfn.XLOOKUP(C565+1,[2]基因升级!$E$141:$E$500,[2]基因升级!$D$141:$D$500)-1,AG564)</f>
        <v>112</v>
      </c>
      <c r="AH565" s="19">
        <v>8</v>
      </c>
      <c r="AI565" s="19">
        <f t="shared" si="260"/>
        <v>10.5142500606751</v>
      </c>
      <c r="AJ565" s="19">
        <f t="shared" si="272"/>
        <v>0</v>
      </c>
      <c r="AK565" s="269">
        <v>2.0368</v>
      </c>
      <c r="AL565" s="287">
        <f t="shared" si="281"/>
        <v>19.3199999999998</v>
      </c>
      <c r="AM565" s="287">
        <f t="shared" si="282"/>
        <v>15.7199999999998</v>
      </c>
      <c r="AN565" s="287">
        <f t="shared" si="284"/>
        <v>12.1199999999999</v>
      </c>
      <c r="AO565" s="287">
        <f t="shared" si="278"/>
        <v>8.51999999999999</v>
      </c>
      <c r="AP565" s="287">
        <f t="shared" si="283"/>
        <v>4.9</v>
      </c>
      <c r="AQ565" s="19">
        <f t="shared" si="261"/>
        <v>3.69568191646743</v>
      </c>
      <c r="AR565" s="19">
        <f t="shared" si="262"/>
        <v>2.89676313711931</v>
      </c>
      <c r="AS565" s="19">
        <f t="shared" si="263"/>
        <v>2.27055164980058</v>
      </c>
      <c r="AT565" s="19">
        <f t="shared" si="264"/>
        <v>1.7797122340969</v>
      </c>
      <c r="AU565" s="19">
        <f t="shared" si="265"/>
        <v>1.39309428522527</v>
      </c>
      <c r="AV565" s="232">
        <f t="shared" si="245"/>
        <v>0.0399999999999991</v>
      </c>
      <c r="AW565" s="232">
        <f t="shared" si="246"/>
        <v>0.0399999999999991</v>
      </c>
      <c r="AX565" s="232">
        <f t="shared" si="247"/>
        <v>0.0399999999999991</v>
      </c>
      <c r="AY565" s="232">
        <f t="shared" si="248"/>
        <v>0.0399999999999991</v>
      </c>
      <c r="AZ565" s="232">
        <f t="shared" si="249"/>
        <v>0.0499999999999998</v>
      </c>
    </row>
    <row r="566" spans="1:52">
      <c r="A566" s="269"/>
      <c r="C566" s="19">
        <v>443</v>
      </c>
      <c r="D566" s="86">
        <f ca="1" t="shared" si="273"/>
        <v>266.418725646279</v>
      </c>
      <c r="E566" s="251">
        <f ca="1" t="shared" si="250"/>
        <v>0.352309394281241</v>
      </c>
      <c r="F566" s="269">
        <f ca="1" t="shared" si="266"/>
        <v>504.297609757361</v>
      </c>
      <c r="G566" s="283">
        <f ca="1" t="shared" si="267"/>
        <v>177.668785431094</v>
      </c>
      <c r="H566" s="279">
        <f ca="1" t="shared" si="268"/>
        <v>0.181210384660432</v>
      </c>
      <c r="I566" s="269">
        <f ca="1">SUM($J$125:J566)/SUM($H$125:H566)</f>
        <v>0.480848263121296</v>
      </c>
      <c r="J566" s="284">
        <f t="shared" si="274"/>
        <v>0.0554217403424389</v>
      </c>
      <c r="K566" s="19">
        <f t="shared" si="276"/>
        <v>45200</v>
      </c>
      <c r="L566" s="269">
        <f t="shared" si="269"/>
        <v>3.25999999999995</v>
      </c>
      <c r="M566" s="226">
        <f ca="1" t="shared" si="270"/>
        <v>498.432</v>
      </c>
      <c r="N566" s="280">
        <f ca="1" t="shared" si="275"/>
        <v>0.125788644317993</v>
      </c>
      <c r="O566" s="226">
        <f t="shared" si="280"/>
        <v>211.2</v>
      </c>
      <c r="P566" s="19">
        <f ca="1" t="shared" si="244"/>
        <v>14.6</v>
      </c>
      <c r="Q566" s="226">
        <f ca="1" t="shared" si="279"/>
        <v>2.36</v>
      </c>
      <c r="R566" s="269">
        <f ca="1" t="shared" si="251"/>
        <v>0.896870084928592</v>
      </c>
      <c r="S566" s="266">
        <f ca="1" t="shared" si="252"/>
        <v>84.2563567409106</v>
      </c>
      <c r="T566" s="226">
        <f ca="1">(1+OFFSET('玩法产出(新)'!$C$18,MATCH(X566,'玩法产出(新)'!$B$19:$B$25,0),1)*(1-V566)+OFFSET('玩法产出(新)'!$C$18,1+MATCH(X566,'玩法产出(新)'!$B$19:$B$25,0),1)*(V566))^AA566*(1+OFFSET('玩法产出(新)'!$C$18,MATCH(X566,'玩法产出(新)'!$B$19:$B$25,0),3)*(1-V566)+OFFSET('玩法产出(新)'!$C$18,1+MATCH(X566,'玩法产出(新)'!$B$19:$B$25,0),3)*(V566))^AB566*(1+OFFSET('玩法产出(新)'!$C$18,MATCH(X566,'玩法产出(新)'!$B$19:$B$25,0),4)*(1-V566)+OFFSET('玩法产出(新)'!$C$18,1+MATCH(X566,'玩法产出(新)'!$B$19:$B$25,0),4)*(V566))^AC566*(1+OFFSET('玩法产出(新)'!$C$18,MATCH(X566,'玩法产出(新)'!$B$19:$B$25,0),5)*(1+V566)+OFFSET('玩法产出(新)'!$C$18,1+MATCH(X566,'玩法产出(新)'!$B$19:$B$25,5),1)*(V566))^AD566*(1+OFFSET('玩法产出(新)'!$C$18,MATCH(X566,'玩法产出(新)'!$B$19:$B$25,0),6)*(1+V566)+OFFSET('玩法产出(新)'!$C$18,1+MATCH(X566,'玩法产出(新)'!$B$19:$B$25,0),6)*(V566))^AE566</f>
        <v>299.068074807338</v>
      </c>
      <c r="U566" s="226">
        <f ca="1" t="shared" si="271"/>
        <v>0.17109900962081</v>
      </c>
      <c r="V566" s="226">
        <f ca="1">COUNTIF($X$124:$X566,X566)/(COUNTIF($X$124:$X$723,X566)+1)</f>
        <v>0.674226804123711</v>
      </c>
      <c r="W566" s="19">
        <v>30</v>
      </c>
      <c r="X566" s="19" t="s">
        <v>326</v>
      </c>
      <c r="Y566" s="19">
        <f t="shared" si="277"/>
        <v>45460</v>
      </c>
      <c r="Z566" s="19">
        <f ca="1" t="shared" si="253"/>
        <v>0</v>
      </c>
      <c r="AA566" s="282">
        <f ca="1" t="shared" si="254"/>
        <v>0</v>
      </c>
      <c r="AB566" s="282">
        <f ca="1" t="shared" si="255"/>
        <v>18</v>
      </c>
      <c r="AC566" s="282">
        <f ca="1" t="shared" si="256"/>
        <v>9.36705</v>
      </c>
      <c r="AD566" s="282">
        <f ca="1" t="shared" si="257"/>
        <v>2.3417625</v>
      </c>
      <c r="AE566" s="282">
        <f ca="1" t="shared" si="258"/>
        <v>0.585440625</v>
      </c>
      <c r="AF566" s="19" t="str">
        <f t="shared" si="259"/>
        <v>彩4</v>
      </c>
      <c r="AG566" s="19">
        <f>IFERROR(_xlfn.XLOOKUP(C566+1,[2]基因升级!$E$141:$E$500,[2]基因升级!$D$141:$D$500)-1,AG565)</f>
        <v>112</v>
      </c>
      <c r="AH566" s="19">
        <v>8</v>
      </c>
      <c r="AI566" s="19">
        <f t="shared" si="260"/>
        <v>10.5142500606751</v>
      </c>
      <c r="AJ566" s="19">
        <f t="shared" si="272"/>
        <v>0</v>
      </c>
      <c r="AK566" s="269">
        <v>2.0368</v>
      </c>
      <c r="AL566" s="287">
        <f t="shared" si="281"/>
        <v>19.3599999999998</v>
      </c>
      <c r="AM566" s="287">
        <f t="shared" si="282"/>
        <v>15.7599999999998</v>
      </c>
      <c r="AN566" s="287">
        <f t="shared" si="284"/>
        <v>12.1599999999999</v>
      </c>
      <c r="AO566" s="287">
        <f t="shared" si="278"/>
        <v>8.55999999999999</v>
      </c>
      <c r="AP566" s="287">
        <f t="shared" si="283"/>
        <v>4.95</v>
      </c>
      <c r="AQ566" s="19">
        <f t="shared" si="261"/>
        <v>3.7056972565883</v>
      </c>
      <c r="AR566" s="19">
        <f t="shared" si="262"/>
        <v>2.90461339824124</v>
      </c>
      <c r="AS566" s="19">
        <f t="shared" si="263"/>
        <v>2.27670487065366</v>
      </c>
      <c r="AT566" s="19">
        <f t="shared" si="264"/>
        <v>1.78453527453832</v>
      </c>
      <c r="AU566" s="19">
        <f t="shared" si="265"/>
        <v>1.39781500949553</v>
      </c>
      <c r="AV566" s="232">
        <f t="shared" si="245"/>
        <v>0.0399999999999991</v>
      </c>
      <c r="AW566" s="232">
        <f t="shared" si="246"/>
        <v>0.0399999999999991</v>
      </c>
      <c r="AX566" s="232">
        <f t="shared" si="247"/>
        <v>0.0399999999999991</v>
      </c>
      <c r="AY566" s="232">
        <f t="shared" si="248"/>
        <v>0.0399999999999991</v>
      </c>
      <c r="AZ566" s="232">
        <f t="shared" si="249"/>
        <v>0.0499999999999998</v>
      </c>
    </row>
    <row r="567" spans="1:52">
      <c r="A567" s="269"/>
      <c r="C567" s="19">
        <v>444</v>
      </c>
      <c r="D567" s="86">
        <f ca="1" t="shared" si="273"/>
        <v>266.770017197037</v>
      </c>
      <c r="E567" s="251">
        <f ca="1" t="shared" si="250"/>
        <v>0.351291550757959</v>
      </c>
      <c r="F567" s="269">
        <f ca="1" t="shared" si="266"/>
        <v>506.271291751572</v>
      </c>
      <c r="G567" s="283">
        <f ca="1" t="shared" si="267"/>
        <v>177.848827183644</v>
      </c>
      <c r="H567" s="279">
        <f ca="1" t="shared" si="268"/>
        <v>0.180041752550807</v>
      </c>
      <c r="I567" s="269">
        <f ca="1">SUM($J$125:J567)/SUM($H$125:H567)</f>
        <v>0.480662035215536</v>
      </c>
      <c r="J567" s="284">
        <f t="shared" si="274"/>
        <v>0.0553146284325976</v>
      </c>
      <c r="K567" s="19">
        <f t="shared" si="276"/>
        <v>45300</v>
      </c>
      <c r="L567" s="269">
        <f t="shared" si="269"/>
        <v>3.26499999999995</v>
      </c>
      <c r="M567" s="226">
        <f ca="1" t="shared" si="270"/>
        <v>502.656</v>
      </c>
      <c r="N567" s="280">
        <f ca="1" t="shared" si="275"/>
        <v>0.124727124118223</v>
      </c>
      <c r="O567" s="226">
        <f t="shared" si="280"/>
        <v>211.2</v>
      </c>
      <c r="P567" s="19">
        <f ca="1" t="shared" ref="P567:P630" si="285">IF(O567=O566,P566+OFFSET($H$75,MATCH(P566,$G$76:$G$84,1),0),10)</f>
        <v>14.8</v>
      </c>
      <c r="Q567" s="226">
        <f ca="1" t="shared" si="279"/>
        <v>2.38</v>
      </c>
      <c r="R567" s="269">
        <f ca="1" t="shared" si="251"/>
        <v>0.898692960103866</v>
      </c>
      <c r="S567" s="266">
        <f ca="1" t="shared" si="252"/>
        <v>84.4276065391177</v>
      </c>
      <c r="T567" s="226">
        <f ca="1">(1+OFFSET('玩法产出(新)'!$C$18,MATCH(X567,'玩法产出(新)'!$B$19:$B$25,0),1)*(1-V567)+OFFSET('玩法产出(新)'!$C$18,1+MATCH(X567,'玩法产出(新)'!$B$19:$B$25,0),1)*(V567))^AA567*(1+OFFSET('玩法产出(新)'!$C$18,MATCH(X567,'玩法产出(新)'!$B$19:$B$25,0),3)*(1-V567)+OFFSET('玩法产出(新)'!$C$18,1+MATCH(X567,'玩法产出(新)'!$B$19:$B$25,0),3)*(V567))^AB567*(1+OFFSET('玩法产出(新)'!$C$18,MATCH(X567,'玩法产出(新)'!$B$19:$B$25,0),4)*(1-V567)+OFFSET('玩法产出(新)'!$C$18,1+MATCH(X567,'玩法产出(新)'!$B$19:$B$25,0),4)*(V567))^AC567*(1+OFFSET('玩法产出(新)'!$C$18,MATCH(X567,'玩法产出(新)'!$B$19:$B$25,0),5)*(1+V567)+OFFSET('玩法产出(新)'!$C$18,1+MATCH(X567,'玩法产出(新)'!$B$19:$B$25,5),1)*(V567))^AD567*(1+OFFSET('玩法产出(新)'!$C$18,MATCH(X567,'玩法产出(新)'!$B$19:$B$25,0),6)*(1+V567)+OFFSET('玩法产出(新)'!$C$18,1+MATCH(X567,'玩法产出(新)'!$B$19:$B$25,0),6)*(V567))^AE567</f>
        <v>302.553388351271</v>
      </c>
      <c r="U567" s="226">
        <f ca="1" t="shared" si="271"/>
        <v>0.171249798207138</v>
      </c>
      <c r="V567" s="226">
        <f ca="1">COUNTIF($X$124:$X567,X567)/(COUNTIF($X$124:$X$723,X567)+1)</f>
        <v>0.676288659793814</v>
      </c>
      <c r="W567" s="19">
        <v>30</v>
      </c>
      <c r="X567" s="19" t="s">
        <v>326</v>
      </c>
      <c r="Y567" s="19">
        <f t="shared" si="277"/>
        <v>45560</v>
      </c>
      <c r="Z567" s="19">
        <f ca="1" t="shared" si="253"/>
        <v>0</v>
      </c>
      <c r="AA567" s="282">
        <f ca="1" t="shared" si="254"/>
        <v>0</v>
      </c>
      <c r="AB567" s="282">
        <f ca="1" t="shared" si="255"/>
        <v>18</v>
      </c>
      <c r="AC567" s="282">
        <f ca="1" t="shared" si="256"/>
        <v>9.3879</v>
      </c>
      <c r="AD567" s="282">
        <f ca="1" t="shared" si="257"/>
        <v>2.346975</v>
      </c>
      <c r="AE567" s="282">
        <f ca="1" t="shared" si="258"/>
        <v>0.58674375</v>
      </c>
      <c r="AF567" s="19" t="str">
        <f t="shared" si="259"/>
        <v>彩4</v>
      </c>
      <c r="AG567" s="19">
        <f>IFERROR(_xlfn.XLOOKUP(C567+1,[2]基因升级!$E$141:$E$500,[2]基因升级!$D$141:$D$500)-1,AG566)</f>
        <v>112</v>
      </c>
      <c r="AH567" s="19">
        <v>8</v>
      </c>
      <c r="AI567" s="19">
        <f t="shared" si="260"/>
        <v>10.5142500606751</v>
      </c>
      <c r="AJ567" s="19">
        <f t="shared" si="272"/>
        <v>0</v>
      </c>
      <c r="AK567" s="269">
        <v>2.0368</v>
      </c>
      <c r="AL567" s="287">
        <f t="shared" si="281"/>
        <v>19.3999999999998</v>
      </c>
      <c r="AM567" s="287">
        <f t="shared" si="282"/>
        <v>15.7999999999998</v>
      </c>
      <c r="AN567" s="287">
        <f t="shared" si="284"/>
        <v>12.1999999999999</v>
      </c>
      <c r="AO567" s="287">
        <f t="shared" si="278"/>
        <v>8.59999999999999</v>
      </c>
      <c r="AP567" s="287">
        <f t="shared" si="283"/>
        <v>5</v>
      </c>
      <c r="AQ567" s="19">
        <f t="shared" si="261"/>
        <v>3.71573973839507</v>
      </c>
      <c r="AR567" s="19">
        <f t="shared" si="262"/>
        <v>2.91248493366029</v>
      </c>
      <c r="AS567" s="19">
        <f t="shared" si="263"/>
        <v>2.2828747668054</v>
      </c>
      <c r="AT567" s="19">
        <f t="shared" si="264"/>
        <v>1.78937138547432</v>
      </c>
      <c r="AU567" s="19">
        <f t="shared" si="265"/>
        <v>1.4025517307</v>
      </c>
      <c r="AV567" s="232">
        <f t="shared" ref="AV567:AV630" si="286">AL567-AL566</f>
        <v>0.0399999999999991</v>
      </c>
      <c r="AW567" s="232">
        <f t="shared" ref="AW567:AW630" si="287">AM567-AM566</f>
        <v>0.0399999999999991</v>
      </c>
      <c r="AX567" s="232">
        <f t="shared" ref="AX567:AX630" si="288">AN567-AN566</f>
        <v>0.0399999999999991</v>
      </c>
      <c r="AY567" s="232">
        <f t="shared" ref="AY567:AY630" si="289">AO567-AO566</f>
        <v>0.0399999999999991</v>
      </c>
      <c r="AZ567" s="232">
        <f t="shared" ref="AZ567:AZ630" si="290">AP567-AP566</f>
        <v>0.0499999999999998</v>
      </c>
    </row>
    <row r="568" spans="1:52">
      <c r="A568" s="269"/>
      <c r="C568" s="19">
        <v>445</v>
      </c>
      <c r="D568" s="86">
        <f ca="1" t="shared" si="273"/>
        <v>267.120309024349</v>
      </c>
      <c r="E568" s="251">
        <f ca="1" t="shared" si="250"/>
        <v>0.350291827311272</v>
      </c>
      <c r="F568" s="269">
        <f ca="1" t="shared" si="266"/>
        <v>508.226868615132</v>
      </c>
      <c r="G568" s="283">
        <f ca="1" t="shared" si="267"/>
        <v>178.027718495881</v>
      </c>
      <c r="H568" s="279">
        <f ca="1" t="shared" si="268"/>
        <v>0.178891312236061</v>
      </c>
      <c r="I568" s="269">
        <f ca="1">SUM($J$125:J568)/SUM($H$125:H568)</f>
        <v>0.480478861150436</v>
      </c>
      <c r="J568" s="284">
        <f t="shared" si="274"/>
        <v>0.0552079419754818</v>
      </c>
      <c r="K568" s="19">
        <f t="shared" si="276"/>
        <v>45400</v>
      </c>
      <c r="L568" s="269">
        <f t="shared" si="269"/>
        <v>3.26999999999995</v>
      </c>
      <c r="M568" s="226">
        <f ca="1" t="shared" si="270"/>
        <v>506.88</v>
      </c>
      <c r="N568" s="280">
        <f ca="1" t="shared" si="275"/>
        <v>0.123683370260579</v>
      </c>
      <c r="O568" s="226">
        <f t="shared" si="280"/>
        <v>211.2</v>
      </c>
      <c r="P568" s="19">
        <f ca="1" t="shared" si="285"/>
        <v>15</v>
      </c>
      <c r="Q568" s="226">
        <f ca="1" t="shared" si="279"/>
        <v>2.4</v>
      </c>
      <c r="R568" s="269">
        <f ca="1" t="shared" si="251"/>
        <v>0.900517439590737</v>
      </c>
      <c r="S568" s="266">
        <f ca="1" t="shared" si="252"/>
        <v>84.5990070541929</v>
      </c>
      <c r="T568" s="226">
        <f ca="1">(1+OFFSET('玩法产出(新)'!$C$18,MATCH(X568,'玩法产出(新)'!$B$19:$B$25,0),1)*(1-V568)+OFFSET('玩法产出(新)'!$C$18,1+MATCH(X568,'玩法产出(新)'!$B$19:$B$25,0),1)*(V568))^AA568*(1+OFFSET('玩法产出(新)'!$C$18,MATCH(X568,'玩法产出(新)'!$B$19:$B$25,0),3)*(1-V568)+OFFSET('玩法产出(新)'!$C$18,1+MATCH(X568,'玩法产出(新)'!$B$19:$B$25,0),3)*(V568))^AB568*(1+OFFSET('玩法产出(新)'!$C$18,MATCH(X568,'玩法产出(新)'!$B$19:$B$25,0),4)*(1-V568)+OFFSET('玩法产出(新)'!$C$18,1+MATCH(X568,'玩法产出(新)'!$B$19:$B$25,0),4)*(V568))^AC568*(1+OFFSET('玩法产出(新)'!$C$18,MATCH(X568,'玩法产出(新)'!$B$19:$B$25,0),5)*(1+V568)+OFFSET('玩法产出(新)'!$C$18,1+MATCH(X568,'玩法产出(新)'!$B$19:$B$25,5),1)*(V568))^AD568*(1+OFFSET('玩法产出(新)'!$C$18,MATCH(X568,'玩法产出(新)'!$B$19:$B$25,0),6)*(1+V568)+OFFSET('玩法产出(新)'!$C$18,1+MATCH(X568,'玩法产出(新)'!$B$19:$B$25,0),6)*(V568))^AE568</f>
        <v>306.08244063701</v>
      </c>
      <c r="U568" s="226">
        <f ca="1" t="shared" si="271"/>
        <v>0.171400515075211</v>
      </c>
      <c r="V568" s="226">
        <f ca="1">COUNTIF($X$124:$X568,X568)/(COUNTIF($X$124:$X$723,X568)+1)</f>
        <v>0.678350515463918</v>
      </c>
      <c r="W568" s="19">
        <v>30</v>
      </c>
      <c r="X568" s="19" t="s">
        <v>326</v>
      </c>
      <c r="Y568" s="19">
        <f t="shared" si="277"/>
        <v>45660</v>
      </c>
      <c r="Z568" s="19">
        <f ca="1" t="shared" si="253"/>
        <v>0</v>
      </c>
      <c r="AA568" s="282">
        <f ca="1" t="shared" si="254"/>
        <v>0</v>
      </c>
      <c r="AB568" s="282">
        <f ca="1" t="shared" si="255"/>
        <v>18</v>
      </c>
      <c r="AC568" s="282">
        <f ca="1" t="shared" si="256"/>
        <v>9.40875</v>
      </c>
      <c r="AD568" s="282">
        <f ca="1" t="shared" si="257"/>
        <v>2.3521875</v>
      </c>
      <c r="AE568" s="282">
        <f ca="1" t="shared" si="258"/>
        <v>0.588046875</v>
      </c>
      <c r="AF568" s="19" t="str">
        <f t="shared" si="259"/>
        <v>彩4</v>
      </c>
      <c r="AG568" s="19">
        <f>IFERROR(_xlfn.XLOOKUP(C568+1,[2]基因升级!$E$141:$E$500,[2]基因升级!$D$141:$D$500)-1,AG567)</f>
        <v>112</v>
      </c>
      <c r="AH568" s="19">
        <v>8</v>
      </c>
      <c r="AI568" s="19">
        <f t="shared" si="260"/>
        <v>10.5142500606751</v>
      </c>
      <c r="AJ568" s="19">
        <f t="shared" si="272"/>
        <v>0</v>
      </c>
      <c r="AK568" s="269">
        <v>2.0368</v>
      </c>
      <c r="AL568" s="287">
        <f t="shared" si="281"/>
        <v>19.4399999999998</v>
      </c>
      <c r="AM568" s="287">
        <f t="shared" si="282"/>
        <v>15.8399999999998</v>
      </c>
      <c r="AN568" s="287">
        <f t="shared" si="284"/>
        <v>12.2399999999999</v>
      </c>
      <c r="AO568" s="287">
        <f t="shared" si="278"/>
        <v>8.63999999999999</v>
      </c>
      <c r="AP568" s="287">
        <f t="shared" si="283"/>
        <v>5.04</v>
      </c>
      <c r="AQ568" s="19">
        <f t="shared" si="261"/>
        <v>3.725809435442</v>
      </c>
      <c r="AR568" s="19">
        <f t="shared" si="262"/>
        <v>2.92037780103006</v>
      </c>
      <c r="AS568" s="19">
        <f t="shared" si="263"/>
        <v>2.28906138344603</v>
      </c>
      <c r="AT568" s="19">
        <f t="shared" si="264"/>
        <v>1.79422060232608</v>
      </c>
      <c r="AU568" s="19">
        <f t="shared" si="265"/>
        <v>1.40635266187795</v>
      </c>
      <c r="AV568" s="232">
        <f t="shared" si="286"/>
        <v>0.0399999999999991</v>
      </c>
      <c r="AW568" s="232">
        <f t="shared" si="287"/>
        <v>0.0399999999999991</v>
      </c>
      <c r="AX568" s="232">
        <f t="shared" si="288"/>
        <v>0.0399999999999991</v>
      </c>
      <c r="AY568" s="232">
        <f t="shared" si="289"/>
        <v>0.0399999999999991</v>
      </c>
      <c r="AZ568" s="232">
        <f t="shared" si="290"/>
        <v>0.04</v>
      </c>
    </row>
    <row r="569" spans="1:52">
      <c r="A569" s="269"/>
      <c r="C569" s="19">
        <v>446</v>
      </c>
      <c r="D569" s="86">
        <f ca="1" t="shared" si="273"/>
        <v>267.469618803454</v>
      </c>
      <c r="E569" s="251">
        <f ca="1" t="shared" si="250"/>
        <v>0.349309779105292</v>
      </c>
      <c r="F569" s="269">
        <f ca="1" t="shared" si="266"/>
        <v>510.164581052169</v>
      </c>
      <c r="G569" s="283">
        <f ca="1" t="shared" si="267"/>
        <v>178.205477114677</v>
      </c>
      <c r="H569" s="279">
        <f ca="1" t="shared" si="268"/>
        <v>0.177758618796616</v>
      </c>
      <c r="I569" s="269">
        <f ca="1">SUM($J$125:J569)/SUM($H$125:H569)</f>
        <v>0.480298679263012</v>
      </c>
      <c r="J569" s="284">
        <f t="shared" si="274"/>
        <v>0.0551016783774259</v>
      </c>
      <c r="K569" s="19">
        <f t="shared" si="276"/>
        <v>45500</v>
      </c>
      <c r="L569" s="269">
        <f t="shared" si="269"/>
        <v>3.27499999999995</v>
      </c>
      <c r="M569" s="226">
        <f ca="1" t="shared" si="270"/>
        <v>511.104</v>
      </c>
      <c r="N569" s="280">
        <f ca="1" t="shared" si="275"/>
        <v>0.122656940419176</v>
      </c>
      <c r="O569" s="226">
        <f t="shared" si="280"/>
        <v>211.2</v>
      </c>
      <c r="P569" s="19">
        <f ca="1" t="shared" si="285"/>
        <v>15.2</v>
      </c>
      <c r="Q569" s="226">
        <f ca="1" t="shared" si="279"/>
        <v>2.42</v>
      </c>
      <c r="R569" s="269">
        <f ca="1" t="shared" si="251"/>
        <v>0.902343522626689</v>
      </c>
      <c r="S569" s="266">
        <f ca="1" t="shared" si="252"/>
        <v>84.7705582145016</v>
      </c>
      <c r="T569" s="226">
        <f ca="1">(1+OFFSET('玩法产出(新)'!$C$18,MATCH(X569,'玩法产出(新)'!$B$19:$B$25,0),1)*(1-V569)+OFFSET('玩法产出(新)'!$C$18,1+MATCH(X569,'玩法产出(新)'!$B$19:$B$25,0),1)*(V569))^AA569*(1+OFFSET('玩法产出(新)'!$C$18,MATCH(X569,'玩法产出(新)'!$B$19:$B$25,0),3)*(1-V569)+OFFSET('玩法产出(新)'!$C$18,1+MATCH(X569,'玩法产出(新)'!$B$19:$B$25,0),3)*(V569))^AB569*(1+OFFSET('玩法产出(新)'!$C$18,MATCH(X569,'玩法产出(新)'!$B$19:$B$25,0),4)*(1-V569)+OFFSET('玩法产出(新)'!$C$18,1+MATCH(X569,'玩法产出(新)'!$B$19:$B$25,0),4)*(V569))^AC569*(1+OFFSET('玩法产出(新)'!$C$18,MATCH(X569,'玩法产出(新)'!$B$19:$B$25,0),5)*(1+V569)+OFFSET('玩法产出(新)'!$C$18,1+MATCH(X569,'玩法产出(新)'!$B$19:$B$25,5),1)*(V569))^AD569*(1+OFFSET('玩法产出(新)'!$C$18,MATCH(X569,'玩法产出(新)'!$B$19:$B$25,0),6)*(1+V569)+OFFSET('玩法产出(新)'!$C$18,1+MATCH(X569,'玩法产出(新)'!$B$19:$B$25,0),6)*(V569))^AE569</f>
        <v>309.655812736221</v>
      </c>
      <c r="U569" s="226">
        <f ca="1" t="shared" si="271"/>
        <v>0.17155116030869</v>
      </c>
      <c r="V569" s="226">
        <f ca="1">COUNTIF($X$124:$X569,X569)/(COUNTIF($X$124:$X$723,X569)+1)</f>
        <v>0.680412371134021</v>
      </c>
      <c r="W569" s="19">
        <v>30</v>
      </c>
      <c r="X569" s="19" t="s">
        <v>326</v>
      </c>
      <c r="Y569" s="19">
        <f t="shared" si="277"/>
        <v>45760</v>
      </c>
      <c r="Z569" s="19">
        <f ca="1" t="shared" si="253"/>
        <v>0</v>
      </c>
      <c r="AA569" s="282">
        <f ca="1" t="shared" si="254"/>
        <v>0</v>
      </c>
      <c r="AB569" s="282">
        <f ca="1" t="shared" si="255"/>
        <v>18</v>
      </c>
      <c r="AC569" s="282">
        <f ca="1" t="shared" si="256"/>
        <v>9.4296</v>
      </c>
      <c r="AD569" s="282">
        <f ca="1" t="shared" si="257"/>
        <v>2.3574</v>
      </c>
      <c r="AE569" s="282">
        <f ca="1" t="shared" si="258"/>
        <v>0.58935</v>
      </c>
      <c r="AF569" s="19" t="str">
        <f t="shared" si="259"/>
        <v>彩4</v>
      </c>
      <c r="AG569" s="19">
        <f>IFERROR(_xlfn.XLOOKUP(C569+1,[2]基因升级!$E$141:$E$500,[2]基因升级!$D$141:$D$500)-1,AG568)</f>
        <v>112</v>
      </c>
      <c r="AH569" s="19">
        <v>8</v>
      </c>
      <c r="AI569" s="19">
        <f t="shared" si="260"/>
        <v>10.5142500606751</v>
      </c>
      <c r="AJ569" s="19">
        <f t="shared" si="272"/>
        <v>0</v>
      </c>
      <c r="AK569" s="269">
        <v>2.0368</v>
      </c>
      <c r="AL569" s="287">
        <f t="shared" si="281"/>
        <v>19.4799999999998</v>
      </c>
      <c r="AM569" s="287">
        <f t="shared" si="282"/>
        <v>15.8799999999998</v>
      </c>
      <c r="AN569" s="287">
        <f t="shared" si="284"/>
        <v>12.2799999999999</v>
      </c>
      <c r="AO569" s="287">
        <f t="shared" si="278"/>
        <v>8.67999999999999</v>
      </c>
      <c r="AP569" s="287">
        <f t="shared" si="283"/>
        <v>5.08</v>
      </c>
      <c r="AQ569" s="19">
        <f t="shared" si="261"/>
        <v>3.73590642148272</v>
      </c>
      <c r="AR569" s="19">
        <f t="shared" si="262"/>
        <v>2.92829205816036</v>
      </c>
      <c r="AS569" s="19">
        <f t="shared" si="263"/>
        <v>2.29526476588828</v>
      </c>
      <c r="AT569" s="19">
        <f t="shared" si="264"/>
        <v>1.79908296061078</v>
      </c>
      <c r="AU569" s="19">
        <f t="shared" si="265"/>
        <v>1.41016389362271</v>
      </c>
      <c r="AV569" s="232">
        <f t="shared" si="286"/>
        <v>0.0399999999999991</v>
      </c>
      <c r="AW569" s="232">
        <f t="shared" si="287"/>
        <v>0.0399999999999991</v>
      </c>
      <c r="AX569" s="232">
        <f t="shared" si="288"/>
        <v>0.0399999999999991</v>
      </c>
      <c r="AY569" s="232">
        <f t="shared" si="289"/>
        <v>0.0399999999999991</v>
      </c>
      <c r="AZ569" s="232">
        <f t="shared" si="290"/>
        <v>0.04</v>
      </c>
    </row>
    <row r="570" spans="1:52">
      <c r="A570" s="269"/>
      <c r="C570" s="19">
        <v>447</v>
      </c>
      <c r="D570" s="86">
        <f ca="1" t="shared" si="273"/>
        <v>267.817963779342</v>
      </c>
      <c r="E570" s="251">
        <f ca="1" t="shared" si="250"/>
        <v>0.348344975888236</v>
      </c>
      <c r="F570" s="269">
        <f ca="1" t="shared" si="266"/>
        <v>512.084665213621</v>
      </c>
      <c r="G570" s="283">
        <f ca="1" t="shared" si="267"/>
        <v>178.382120356574</v>
      </c>
      <c r="H570" s="279">
        <f ca="1" t="shared" si="268"/>
        <v>0.17664324189704</v>
      </c>
      <c r="I570" s="269">
        <f ca="1">SUM($J$125:J570)/SUM($H$125:H570)</f>
        <v>0.480121429560642</v>
      </c>
      <c r="J570" s="284">
        <f t="shared" si="274"/>
        <v>0.0549958350662791</v>
      </c>
      <c r="K570" s="19">
        <f t="shared" si="276"/>
        <v>45600</v>
      </c>
      <c r="L570" s="269">
        <f t="shared" si="269"/>
        <v>3.27999999999995</v>
      </c>
      <c r="M570" s="226">
        <f ca="1" t="shared" si="270"/>
        <v>515.328</v>
      </c>
      <c r="N570" s="280">
        <f ca="1" t="shared" si="275"/>
        <v>0.121647406830789</v>
      </c>
      <c r="O570" s="226">
        <f t="shared" si="280"/>
        <v>211.2</v>
      </c>
      <c r="P570" s="19">
        <f ca="1" t="shared" si="285"/>
        <v>15.4</v>
      </c>
      <c r="Q570" s="226">
        <f ca="1" t="shared" si="279"/>
        <v>2.44</v>
      </c>
      <c r="R570" s="269">
        <f ca="1" t="shared" si="251"/>
        <v>0.904171208450093</v>
      </c>
      <c r="S570" s="266">
        <f ca="1" t="shared" si="252"/>
        <v>84.9422599484928</v>
      </c>
      <c r="T570" s="226">
        <f ca="1">(1+OFFSET('玩法产出(新)'!$C$18,MATCH(X570,'玩法产出(新)'!$B$19:$B$25,0),1)*(1-V570)+OFFSET('玩法产出(新)'!$C$18,1+MATCH(X570,'玩法产出(新)'!$B$19:$B$25,0),1)*(V570))^AA570*(1+OFFSET('玩法产出(新)'!$C$18,MATCH(X570,'玩法产出(新)'!$B$19:$B$25,0),3)*(1-V570)+OFFSET('玩法产出(新)'!$C$18,1+MATCH(X570,'玩法产出(新)'!$B$19:$B$25,0),3)*(V570))^AB570*(1+OFFSET('玩法产出(新)'!$C$18,MATCH(X570,'玩法产出(新)'!$B$19:$B$25,0),4)*(1-V570)+OFFSET('玩法产出(新)'!$C$18,1+MATCH(X570,'玩法产出(新)'!$B$19:$B$25,0),4)*(V570))^AC570*(1+OFFSET('玩法产出(新)'!$C$18,MATCH(X570,'玩法产出(新)'!$B$19:$B$25,0),5)*(1+V570)+OFFSET('玩法产出(新)'!$C$18,1+MATCH(X570,'玩法产出(新)'!$B$19:$B$25,5),1)*(V570))^AD570*(1+OFFSET('玩法产出(新)'!$C$18,MATCH(X570,'玩法产出(新)'!$B$19:$B$25,0),6)*(1+V570)+OFFSET('玩法产出(新)'!$C$18,1+MATCH(X570,'玩法产出(新)'!$B$19:$B$25,0),6)*(V570))^AE570</f>
        <v>313.274093814254</v>
      </c>
      <c r="U570" s="226">
        <f ca="1" t="shared" si="271"/>
        <v>0.171701733991168</v>
      </c>
      <c r="V570" s="226">
        <f ca="1">COUNTIF($X$124:$X570,X570)/(COUNTIF($X$124:$X$723,X570)+1)</f>
        <v>0.682474226804124</v>
      </c>
      <c r="W570" s="19">
        <v>30</v>
      </c>
      <c r="X570" s="19" t="s">
        <v>326</v>
      </c>
      <c r="Y570" s="19">
        <f t="shared" si="277"/>
        <v>45860</v>
      </c>
      <c r="Z570" s="19">
        <f ca="1" t="shared" si="253"/>
        <v>0</v>
      </c>
      <c r="AA570" s="282">
        <f ca="1" t="shared" si="254"/>
        <v>0</v>
      </c>
      <c r="AB570" s="282">
        <f ca="1" t="shared" si="255"/>
        <v>18</v>
      </c>
      <c r="AC570" s="282">
        <f ca="1" t="shared" si="256"/>
        <v>9.45045</v>
      </c>
      <c r="AD570" s="282">
        <f ca="1" t="shared" si="257"/>
        <v>2.3626125</v>
      </c>
      <c r="AE570" s="282">
        <f ca="1" t="shared" si="258"/>
        <v>0.590653125</v>
      </c>
      <c r="AF570" s="19" t="str">
        <f t="shared" si="259"/>
        <v>彩4</v>
      </c>
      <c r="AG570" s="19">
        <f>IFERROR(_xlfn.XLOOKUP(C570+1,[2]基因升级!$E$141:$E$500,[2]基因升级!$D$141:$D$500)-1,AG569)</f>
        <v>112</v>
      </c>
      <c r="AH570" s="19">
        <v>8</v>
      </c>
      <c r="AI570" s="19">
        <f t="shared" si="260"/>
        <v>10.5142500606751</v>
      </c>
      <c r="AJ570" s="19">
        <f t="shared" si="272"/>
        <v>0</v>
      </c>
      <c r="AK570" s="269">
        <v>2.0368</v>
      </c>
      <c r="AL570" s="287">
        <f t="shared" si="281"/>
        <v>19.5199999999998</v>
      </c>
      <c r="AM570" s="287">
        <f t="shared" si="282"/>
        <v>15.9199999999998</v>
      </c>
      <c r="AN570" s="287">
        <f t="shared" si="284"/>
        <v>12.3199999999999</v>
      </c>
      <c r="AO570" s="287">
        <f t="shared" si="278"/>
        <v>8.71999999999998</v>
      </c>
      <c r="AP570" s="287">
        <f t="shared" si="283"/>
        <v>5.12</v>
      </c>
      <c r="AQ570" s="19">
        <f t="shared" si="261"/>
        <v>3.7460307704707</v>
      </c>
      <c r="AR570" s="19">
        <f t="shared" si="262"/>
        <v>2.93622776301771</v>
      </c>
      <c r="AS570" s="19">
        <f t="shared" si="263"/>
        <v>2.30148495956767</v>
      </c>
      <c r="AT570" s="19">
        <f t="shared" si="264"/>
        <v>1.80395849594187</v>
      </c>
      <c r="AU570" s="19">
        <f t="shared" si="265"/>
        <v>1.41398545384895</v>
      </c>
      <c r="AV570" s="232">
        <f t="shared" si="286"/>
        <v>0.0399999999999991</v>
      </c>
      <c r="AW570" s="232">
        <f t="shared" si="287"/>
        <v>0.0399999999999991</v>
      </c>
      <c r="AX570" s="232">
        <f t="shared" si="288"/>
        <v>0.0399999999999991</v>
      </c>
      <c r="AY570" s="232">
        <f t="shared" si="289"/>
        <v>0.0399999999999991</v>
      </c>
      <c r="AZ570" s="232">
        <f t="shared" si="290"/>
        <v>0.04</v>
      </c>
    </row>
    <row r="571" spans="1:52">
      <c r="A571" s="269"/>
      <c r="C571" s="19">
        <v>448</v>
      </c>
      <c r="D571" s="86">
        <f ca="1" t="shared" si="273"/>
        <v>268.165360780739</v>
      </c>
      <c r="E571" s="251">
        <f ca="1" t="shared" si="250"/>
        <v>0.34739700139719</v>
      </c>
      <c r="F571" s="269">
        <f ca="1" t="shared" si="266"/>
        <v>513.987352808538</v>
      </c>
      <c r="G571" s="283">
        <f ca="1" t="shared" si="267"/>
        <v>178.557665121766</v>
      </c>
      <c r="H571" s="279">
        <f ca="1" t="shared" si="268"/>
        <v>0.175544765191376</v>
      </c>
      <c r="I571" s="269">
        <f ca="1">SUM($J$125:J571)/SUM($H$125:H571)</f>
        <v>0.479947053663211</v>
      </c>
      <c r="J571" s="284">
        <f t="shared" si="274"/>
        <v>0.0548904094910796</v>
      </c>
      <c r="K571" s="19">
        <f t="shared" si="276"/>
        <v>45700</v>
      </c>
      <c r="L571" s="269">
        <f t="shared" si="269"/>
        <v>3.28499999999995</v>
      </c>
      <c r="M571" s="226">
        <f ca="1" t="shared" si="270"/>
        <v>519.552</v>
      </c>
      <c r="N571" s="280">
        <f ca="1" t="shared" si="275"/>
        <v>0.120654355700296</v>
      </c>
      <c r="O571" s="226">
        <f t="shared" si="280"/>
        <v>211.2</v>
      </c>
      <c r="P571" s="19">
        <f ca="1" t="shared" si="285"/>
        <v>15.6</v>
      </c>
      <c r="Q571" s="226">
        <f ca="1" t="shared" si="279"/>
        <v>2.46</v>
      </c>
      <c r="R571" s="269">
        <f ca="1" t="shared" si="251"/>
        <v>0.906000496300208</v>
      </c>
      <c r="S571" s="266">
        <f ca="1" t="shared" si="252"/>
        <v>85.1141121846986</v>
      </c>
      <c r="T571" s="226">
        <f ca="1">(1+OFFSET('玩法产出(新)'!$C$18,MATCH(X571,'玩法产出(新)'!$B$19:$B$25,0),1)*(1-V571)+OFFSET('玩法产出(新)'!$C$18,1+MATCH(X571,'玩法产出(新)'!$B$19:$B$25,0),1)*(V571))^AA571*(1+OFFSET('玩法产出(新)'!$C$18,MATCH(X571,'玩法产出(新)'!$B$19:$B$25,0),3)*(1-V571)+OFFSET('玩法产出(新)'!$C$18,1+MATCH(X571,'玩法产出(新)'!$B$19:$B$25,0),3)*(V571))^AB571*(1+OFFSET('玩法产出(新)'!$C$18,MATCH(X571,'玩法产出(新)'!$B$19:$B$25,0),4)*(1-V571)+OFFSET('玩法产出(新)'!$C$18,1+MATCH(X571,'玩法产出(新)'!$B$19:$B$25,0),4)*(V571))^AC571*(1+OFFSET('玩法产出(新)'!$C$18,MATCH(X571,'玩法产出(新)'!$B$19:$B$25,0),5)*(1+V571)+OFFSET('玩法产出(新)'!$C$18,1+MATCH(X571,'玩法产出(新)'!$B$19:$B$25,5),1)*(V571))^AD571*(1+OFFSET('玩法产出(新)'!$C$18,MATCH(X571,'玩法产出(新)'!$B$19:$B$25,0),6)*(1+V571)+OFFSET('玩法产出(新)'!$C$18,1+MATCH(X571,'玩法产出(新)'!$B$19:$B$25,0),6)*(V571))^AE571</f>
        <v>316.937881247558</v>
      </c>
      <c r="U571" s="226">
        <f ca="1" t="shared" si="271"/>
        <v>0.171852236205814</v>
      </c>
      <c r="V571" s="226">
        <f ca="1">COUNTIF($X$124:$X571,X571)/(COUNTIF($X$124:$X$723,X571)+1)</f>
        <v>0.684536082474227</v>
      </c>
      <c r="W571" s="19">
        <v>30</v>
      </c>
      <c r="X571" s="19" t="s">
        <v>326</v>
      </c>
      <c r="Y571" s="19">
        <f t="shared" si="277"/>
        <v>45960</v>
      </c>
      <c r="Z571" s="19">
        <f ca="1" t="shared" si="253"/>
        <v>0</v>
      </c>
      <c r="AA571" s="282">
        <f ca="1" t="shared" si="254"/>
        <v>0</v>
      </c>
      <c r="AB571" s="282">
        <f ca="1" t="shared" si="255"/>
        <v>18</v>
      </c>
      <c r="AC571" s="282">
        <f ca="1" t="shared" si="256"/>
        <v>9.4713</v>
      </c>
      <c r="AD571" s="282">
        <f ca="1" t="shared" si="257"/>
        <v>2.367825</v>
      </c>
      <c r="AE571" s="282">
        <f ca="1" t="shared" si="258"/>
        <v>0.59195625</v>
      </c>
      <c r="AF571" s="19" t="str">
        <f t="shared" si="259"/>
        <v>彩4</v>
      </c>
      <c r="AG571" s="19">
        <f>IFERROR(_xlfn.XLOOKUP(C571+1,[2]基因升级!$E$141:$E$500,[2]基因升级!$D$141:$D$500)-1,AG570)</f>
        <v>112</v>
      </c>
      <c r="AH571" s="19">
        <v>8</v>
      </c>
      <c r="AI571" s="19">
        <f t="shared" si="260"/>
        <v>10.5142500606751</v>
      </c>
      <c r="AJ571" s="19">
        <f t="shared" si="272"/>
        <v>0</v>
      </c>
      <c r="AK571" s="269">
        <v>2.0368</v>
      </c>
      <c r="AL571" s="287">
        <f t="shared" si="281"/>
        <v>19.5599999999998</v>
      </c>
      <c r="AM571" s="287">
        <f t="shared" si="282"/>
        <v>15.9599999999998</v>
      </c>
      <c r="AN571" s="287">
        <f t="shared" si="284"/>
        <v>12.3599999999999</v>
      </c>
      <c r="AO571" s="287">
        <f t="shared" si="278"/>
        <v>8.75999999999998</v>
      </c>
      <c r="AP571" s="287">
        <f t="shared" si="283"/>
        <v>5.16</v>
      </c>
      <c r="AQ571" s="19">
        <f t="shared" si="261"/>
        <v>3.75618255655985</v>
      </c>
      <c r="AR571" s="19">
        <f t="shared" si="262"/>
        <v>2.94418497372568</v>
      </c>
      <c r="AS571" s="19">
        <f t="shared" si="263"/>
        <v>2.30772201004283</v>
      </c>
      <c r="AT571" s="19">
        <f t="shared" si="264"/>
        <v>1.80884724402927</v>
      </c>
      <c r="AU571" s="19">
        <f t="shared" si="265"/>
        <v>1.41781737054697</v>
      </c>
      <c r="AV571" s="232">
        <f t="shared" si="286"/>
        <v>0.0399999999999991</v>
      </c>
      <c r="AW571" s="232">
        <f t="shared" si="287"/>
        <v>0.0399999999999991</v>
      </c>
      <c r="AX571" s="232">
        <f t="shared" si="288"/>
        <v>0.0399999999999991</v>
      </c>
      <c r="AY571" s="232">
        <f t="shared" si="289"/>
        <v>0.0399999999999991</v>
      </c>
      <c r="AZ571" s="232">
        <f t="shared" si="290"/>
        <v>0.04</v>
      </c>
    </row>
    <row r="572" spans="1:52">
      <c r="A572" s="269"/>
      <c r="C572" s="19">
        <v>449</v>
      </c>
      <c r="D572" s="86">
        <f ca="1" t="shared" si="273"/>
        <v>268.511826233532</v>
      </c>
      <c r="E572" s="251">
        <f ca="1" t="shared" ref="E572:E635" si="291">J572+N572+U572+AJ572</f>
        <v>0.346465452793174</v>
      </c>
      <c r="F572" s="269">
        <f ca="1" t="shared" si="266"/>
        <v>515.872871210102</v>
      </c>
      <c r="G572" s="283">
        <f ca="1" t="shared" si="267"/>
        <v>178.732127907523</v>
      </c>
      <c r="H572" s="279">
        <f ca="1" t="shared" si="268"/>
        <v>0.174462785757157</v>
      </c>
      <c r="I572" s="269">
        <f ca="1">SUM($J$125:J572)/SUM($H$125:H572)</f>
        <v>0.479775494747697</v>
      </c>
      <c r="J572" s="284">
        <f t="shared" si="274"/>
        <v>0.0547853991218972</v>
      </c>
      <c r="K572" s="19">
        <f t="shared" si="276"/>
        <v>45800</v>
      </c>
      <c r="L572" s="269">
        <f t="shared" si="269"/>
        <v>3.28999999999995</v>
      </c>
      <c r="M572" s="226">
        <f ca="1" t="shared" si="270"/>
        <v>523.776</v>
      </c>
      <c r="N572" s="280">
        <f ca="1" t="shared" si="275"/>
        <v>0.119677386635246</v>
      </c>
      <c r="O572" s="226">
        <f t="shared" si="280"/>
        <v>211.2</v>
      </c>
      <c r="P572" s="19">
        <f ca="1" t="shared" si="285"/>
        <v>15.8</v>
      </c>
      <c r="Q572" s="226">
        <f ca="1" t="shared" si="279"/>
        <v>2.48</v>
      </c>
      <c r="R572" s="269">
        <f ca="1" t="shared" ref="R572:R635" si="292">S572/$E$115</f>
        <v>0.907831385417178</v>
      </c>
      <c r="S572" s="266">
        <f ca="1" t="shared" ref="S572:S635" si="293">LOG(T572,1.07)</f>
        <v>85.2861148517346</v>
      </c>
      <c r="T572" s="226">
        <f ca="1">(1+OFFSET('玩法产出(新)'!$C$18,MATCH(X572,'玩法产出(新)'!$B$19:$B$25,0),1)*(1-V572)+OFFSET('玩法产出(新)'!$C$18,1+MATCH(X572,'玩法产出(新)'!$B$19:$B$25,0),1)*(V572))^AA572*(1+OFFSET('玩法产出(新)'!$C$18,MATCH(X572,'玩法产出(新)'!$B$19:$B$25,0),3)*(1-V572)+OFFSET('玩法产出(新)'!$C$18,1+MATCH(X572,'玩法产出(新)'!$B$19:$B$25,0),3)*(V572))^AB572*(1+OFFSET('玩法产出(新)'!$C$18,MATCH(X572,'玩法产出(新)'!$B$19:$B$25,0),4)*(1-V572)+OFFSET('玩法产出(新)'!$C$18,1+MATCH(X572,'玩法产出(新)'!$B$19:$B$25,0),4)*(V572))^AC572*(1+OFFSET('玩法产出(新)'!$C$18,MATCH(X572,'玩法产出(新)'!$B$19:$B$25,0),5)*(1+V572)+OFFSET('玩法产出(新)'!$C$18,1+MATCH(X572,'玩法产出(新)'!$B$19:$B$25,5),1)*(V572))^AD572*(1+OFFSET('玩法产出(新)'!$C$18,MATCH(X572,'玩法产出(新)'!$B$19:$B$25,0),6)*(1+V572)+OFFSET('玩法产出(新)'!$C$18,1+MATCH(X572,'玩法产出(新)'!$B$19:$B$25,0),6)*(V572))^AE572</f>
        <v>320.64778074287</v>
      </c>
      <c r="U572" s="226">
        <f ca="1" t="shared" si="271"/>
        <v>0.172002667036031</v>
      </c>
      <c r="V572" s="226">
        <f ca="1">COUNTIF($X$124:$X572,X572)/(COUNTIF($X$124:$X$723,X572)+1)</f>
        <v>0.68659793814433</v>
      </c>
      <c r="W572" s="19">
        <v>30</v>
      </c>
      <c r="X572" s="19" t="s">
        <v>326</v>
      </c>
      <c r="Y572" s="19">
        <f t="shared" si="277"/>
        <v>46060</v>
      </c>
      <c r="Z572" s="19">
        <f ca="1" t="shared" ref="Z572:Z635" si="294">(_xlfn.XLOOKUP(X572,$W$110:$W$115,$X$110:$X$115)+V572*_xlfn.XLOOKUP(X572,$W$110:$W$115,$Y$110:$Y$115))*MIN(AA572/2,6)</f>
        <v>0</v>
      </c>
      <c r="AA572" s="282">
        <f ca="1" t="shared" ref="AA572:AA635" si="295">MAX(W572-SUM(AB572:AE572),0)</f>
        <v>0</v>
      </c>
      <c r="AB572" s="282">
        <f ca="1" t="shared" ref="AB572:AB635" si="296">MIN(1+($Y572*$P$116+120*$C572)/OFFSET($G$101,MATCH(AB$123,$AB$123:$AE$123),0),18)</f>
        <v>18</v>
      </c>
      <c r="AC572" s="282">
        <f ca="1" t="shared" ref="AC572:AC635" si="297">MIN(($Y572*$P$116+120*$C572)/OFFSET($G$101,MATCH(AC$123,$AB$123:$AE$123),0),12)</f>
        <v>9.49215</v>
      </c>
      <c r="AD572" s="282">
        <f ca="1" t="shared" ref="AD572:AD635" si="298">IF(MATCH($X572,$L$112:$L$118,0)&gt;=4,($Y572*$P$116+120*$C572)/OFFSET($G$101,MATCH(AD$123,$AB$123:$AE$123),0),0)</f>
        <v>2.3730375</v>
      </c>
      <c r="AE572" s="282">
        <f ca="1" t="shared" ref="AE572:AE635" si="299">IF(MATCH($X572,$L$112:$L$118,0)&gt;=4,($Y572*$P$116+120*$C572)/OFFSET($G$101,MATCH(AE$123,$AB$123:$AE$123),0),0)</f>
        <v>0.593259375</v>
      </c>
      <c r="AF572" s="19" t="str">
        <f t="shared" ref="AF572:AF635" si="300">_xlfn.XLOOKUP(O572,$D$77:$D$95,$F$77:$F$95)</f>
        <v>彩4</v>
      </c>
      <c r="AG572" s="19">
        <f>IFERROR(_xlfn.XLOOKUP(C572+1,[2]基因升级!$E$141:$E$500,[2]基因升级!$D$141:$D$500)-1,AG571)</f>
        <v>112</v>
      </c>
      <c r="AH572" s="19">
        <v>8</v>
      </c>
      <c r="AI572" s="19">
        <f t="shared" ref="AI572:AI635" si="301">LOG(AK572,1.07)</f>
        <v>10.5142500606751</v>
      </c>
      <c r="AJ572" s="19">
        <f t="shared" si="272"/>
        <v>0</v>
      </c>
      <c r="AK572" s="269">
        <v>2.0368</v>
      </c>
      <c r="AL572" s="287">
        <f t="shared" si="281"/>
        <v>19.5999999999998</v>
      </c>
      <c r="AM572" s="287">
        <f t="shared" si="282"/>
        <v>15.9999999999998</v>
      </c>
      <c r="AN572" s="287">
        <f t="shared" si="284"/>
        <v>12.3999999999999</v>
      </c>
      <c r="AO572" s="287">
        <f t="shared" si="278"/>
        <v>8.79999999999998</v>
      </c>
      <c r="AP572" s="287">
        <f t="shared" si="283"/>
        <v>5.2</v>
      </c>
      <c r="AQ572" s="19">
        <f t="shared" ref="AQ572:AQ635" si="302">1.07^AL572</f>
        <v>3.76636185410502</v>
      </c>
      <c r="AR572" s="19">
        <f t="shared" ref="AR572:AR635" si="303">1.07^AM572</f>
        <v>2.95216374856538</v>
      </c>
      <c r="AS572" s="19">
        <f t="shared" ref="AS572:AS635" si="304">1.07^AN572</f>
        <v>2.31397596299587</v>
      </c>
      <c r="AT572" s="19">
        <f t="shared" ref="AT572:AT635" si="305">1.07^AO572</f>
        <v>1.81374924067972</v>
      </c>
      <c r="AU572" s="19">
        <f t="shared" ref="AU572:AU635" si="306">1.07^AP572</f>
        <v>1.42165967178291</v>
      </c>
      <c r="AV572" s="232">
        <f t="shared" si="286"/>
        <v>0.0399999999999991</v>
      </c>
      <c r="AW572" s="232">
        <f t="shared" si="287"/>
        <v>0.0399999999999991</v>
      </c>
      <c r="AX572" s="232">
        <f t="shared" si="288"/>
        <v>0.0399999999999991</v>
      </c>
      <c r="AY572" s="232">
        <f t="shared" si="289"/>
        <v>0.0399999999999991</v>
      </c>
      <c r="AZ572" s="232">
        <f t="shared" si="290"/>
        <v>0.04</v>
      </c>
    </row>
    <row r="573" spans="1:52">
      <c r="A573" s="269"/>
      <c r="C573" s="19">
        <v>450</v>
      </c>
      <c r="D573" s="86">
        <f ca="1" t="shared" si="273"/>
        <v>268.857376173654</v>
      </c>
      <c r="E573" s="251">
        <f ca="1" t="shared" si="291"/>
        <v>0.34554994012199</v>
      </c>
      <c r="F573" s="269">
        <f ca="1" t="shared" ref="F573:F636" si="307">G573/E573</f>
        <v>517.741443560722</v>
      </c>
      <c r="G573" s="283">
        <f ca="1" t="shared" ref="G573:G636" si="308">LOG((K573*O573*L573*Q573)/($K$124*$O$124*$L$124*$Q$124),1.07)+$G$124</f>
        <v>178.90552482108</v>
      </c>
      <c r="H573" s="279">
        <f ca="1" t="shared" ref="H573:H636" si="309">G573-G572</f>
        <v>0.173396913557269</v>
      </c>
      <c r="I573" s="269">
        <f ca="1">SUM($J$125:J573)/SUM($H$125:H573)</f>
        <v>0.47960669749509</v>
      </c>
      <c r="J573" s="284">
        <f t="shared" si="274"/>
        <v>0.0546808014496776</v>
      </c>
      <c r="K573" s="19">
        <f t="shared" si="276"/>
        <v>45900</v>
      </c>
      <c r="L573" s="269">
        <f t="shared" ref="L573:L636" si="310">L572+0.5%</f>
        <v>3.29499999999995</v>
      </c>
      <c r="M573" s="226">
        <f ca="1" t="shared" ref="M573:M636" si="311">O573*Q573</f>
        <v>528</v>
      </c>
      <c r="N573" s="280">
        <f ca="1" t="shared" si="275"/>
        <v>0.118716112107563</v>
      </c>
      <c r="O573" s="226">
        <f t="shared" si="280"/>
        <v>211.2</v>
      </c>
      <c r="P573" s="19">
        <f ca="1" t="shared" si="285"/>
        <v>16</v>
      </c>
      <c r="Q573" s="226">
        <f ca="1" t="shared" si="279"/>
        <v>2.5</v>
      </c>
      <c r="R573" s="269">
        <f ca="1" t="shared" si="292"/>
        <v>0.909663875042034</v>
      </c>
      <c r="S573" s="266">
        <f ca="1" t="shared" si="293"/>
        <v>85.4582678782994</v>
      </c>
      <c r="T573" s="226">
        <f ca="1">(1+OFFSET('玩法产出(新)'!$C$18,MATCH(X573,'玩法产出(新)'!$B$19:$B$25,0),1)*(1-V573)+OFFSET('玩法产出(新)'!$C$18,1+MATCH(X573,'玩法产出(新)'!$B$19:$B$25,0),1)*(V573))^AA573*(1+OFFSET('玩法产出(新)'!$C$18,MATCH(X573,'玩法产出(新)'!$B$19:$B$25,0),3)*(1-V573)+OFFSET('玩法产出(新)'!$C$18,1+MATCH(X573,'玩法产出(新)'!$B$19:$B$25,0),3)*(V573))^AB573*(1+OFFSET('玩法产出(新)'!$C$18,MATCH(X573,'玩法产出(新)'!$B$19:$B$25,0),4)*(1-V573)+OFFSET('玩法产出(新)'!$C$18,1+MATCH(X573,'玩法产出(新)'!$B$19:$B$25,0),4)*(V573))^AC573*(1+OFFSET('玩法产出(新)'!$C$18,MATCH(X573,'玩法产出(新)'!$B$19:$B$25,0),5)*(1+V573)+OFFSET('玩法产出(新)'!$C$18,1+MATCH(X573,'玩法产出(新)'!$B$19:$B$25,5),1)*(V573))^AD573*(1+OFFSET('玩法产出(新)'!$C$18,MATCH(X573,'玩法产出(新)'!$B$19:$B$25,0),6)*(1+V573)+OFFSET('玩法产出(新)'!$C$18,1+MATCH(X573,'玩法产出(新)'!$B$19:$B$25,0),6)*(V573))^AE573</f>
        <v>324.404406458191</v>
      </c>
      <c r="U573" s="226">
        <f ca="1" t="shared" ref="U573:U636" si="312">LOG(T573/T572,1.07)</f>
        <v>0.172153026564749</v>
      </c>
      <c r="V573" s="226">
        <f ca="1">COUNTIF($X$124:$X573,X573)/(COUNTIF($X$124:$X$723,X573)+1)</f>
        <v>0.688659793814433</v>
      </c>
      <c r="W573" s="19">
        <v>30</v>
      </c>
      <c r="X573" s="19" t="s">
        <v>326</v>
      </c>
      <c r="Y573" s="19">
        <f t="shared" si="277"/>
        <v>46160</v>
      </c>
      <c r="Z573" s="19">
        <f ca="1" t="shared" si="294"/>
        <v>0</v>
      </c>
      <c r="AA573" s="282">
        <f ca="1" t="shared" si="295"/>
        <v>0</v>
      </c>
      <c r="AB573" s="282">
        <f ca="1" t="shared" si="296"/>
        <v>18</v>
      </c>
      <c r="AC573" s="282">
        <f ca="1" t="shared" si="297"/>
        <v>9.513</v>
      </c>
      <c r="AD573" s="282">
        <f ca="1" t="shared" si="298"/>
        <v>2.37825</v>
      </c>
      <c r="AE573" s="282">
        <f ca="1" t="shared" si="299"/>
        <v>0.5945625</v>
      </c>
      <c r="AF573" s="19" t="str">
        <f t="shared" si="300"/>
        <v>彩4</v>
      </c>
      <c r="AG573" s="19">
        <f>IFERROR(_xlfn.XLOOKUP(C573+1,[2]基因升级!$E$141:$E$500,[2]基因升级!$D$141:$D$500)-1,AG572)</f>
        <v>113</v>
      </c>
      <c r="AH573" s="19">
        <v>8</v>
      </c>
      <c r="AI573" s="19">
        <f t="shared" si="301"/>
        <v>10.5142500606751</v>
      </c>
      <c r="AJ573" s="19">
        <f t="shared" ref="AJ573:AJ636" si="313">AI573-AI572</f>
        <v>0</v>
      </c>
      <c r="AK573" s="269">
        <v>2.0368</v>
      </c>
      <c r="AL573" s="287">
        <f t="shared" si="281"/>
        <v>19.6399999999998</v>
      </c>
      <c r="AM573" s="287">
        <f t="shared" si="282"/>
        <v>16.0399999999998</v>
      </c>
      <c r="AN573" s="287">
        <f t="shared" si="284"/>
        <v>12.4399999999999</v>
      </c>
      <c r="AO573" s="287">
        <f t="shared" si="278"/>
        <v>8.83999999999998</v>
      </c>
      <c r="AP573" s="287">
        <f t="shared" si="283"/>
        <v>5.24</v>
      </c>
      <c r="AQ573" s="19">
        <f t="shared" si="302"/>
        <v>3.77656873766257</v>
      </c>
      <c r="AR573" s="19">
        <f t="shared" si="303"/>
        <v>2.96016414597584</v>
      </c>
      <c r="AS573" s="19">
        <f t="shared" si="304"/>
        <v>2.3202468642327</v>
      </c>
      <c r="AT573" s="19">
        <f t="shared" si="305"/>
        <v>1.81866452179697</v>
      </c>
      <c r="AU573" s="19">
        <f t="shared" si="306"/>
        <v>1.42551238569901</v>
      </c>
      <c r="AV573" s="232">
        <f t="shared" si="286"/>
        <v>0.0399999999999991</v>
      </c>
      <c r="AW573" s="232">
        <f t="shared" si="287"/>
        <v>0.0399999999999991</v>
      </c>
      <c r="AX573" s="232">
        <f t="shared" si="288"/>
        <v>0.0399999999999991</v>
      </c>
      <c r="AY573" s="232">
        <f t="shared" si="289"/>
        <v>0.0399999999999991</v>
      </c>
      <c r="AZ573" s="232">
        <f t="shared" si="290"/>
        <v>0.04</v>
      </c>
    </row>
    <row r="574" spans="1:52">
      <c r="A574" s="269"/>
      <c r="C574" s="19">
        <v>451</v>
      </c>
      <c r="D574" s="86">
        <f ca="1" t="shared" ref="D574:D637" si="314">D573+E574</f>
        <v>269.202026259456</v>
      </c>
      <c r="E574" s="251">
        <f ca="1" t="shared" si="291"/>
        <v>0.344650085801826</v>
      </c>
      <c r="F574" s="269">
        <f ca="1" t="shared" si="307"/>
        <v>519.593288872636</v>
      </c>
      <c r="G574" s="283">
        <f ca="1" t="shared" si="308"/>
        <v>179.077871592007</v>
      </c>
      <c r="H574" s="279">
        <f ca="1" t="shared" si="309"/>
        <v>0.17234677092685</v>
      </c>
      <c r="I574" s="269">
        <f ca="1">SUM($J$125:J574)/SUM($H$125:H574)</f>
        <v>0.479440608039516</v>
      </c>
      <c r="J574" s="284">
        <f t="shared" ref="J574:J637" si="315">LOG(K574*L574/$K$124/$L$124,1.07)-LOG(K573*L573/$K$124/$L$124,1.07)</f>
        <v>0.0545766139858443</v>
      </c>
      <c r="K574" s="19">
        <f t="shared" si="276"/>
        <v>46000</v>
      </c>
      <c r="L574" s="269">
        <f t="shared" si="310"/>
        <v>3.29999999999995</v>
      </c>
      <c r="M574" s="226">
        <f ca="1" t="shared" si="311"/>
        <v>532.223999999999</v>
      </c>
      <c r="N574" s="280">
        <f ca="1" t="shared" ref="N574:N637" si="316">LOG(O574*Q574/($O$124*$Q$124),1.07)-LOG(O573*Q573/($O$124*$Q$124),1.07)</f>
        <v>0.117770156941006</v>
      </c>
      <c r="O574" s="226">
        <f t="shared" si="280"/>
        <v>211.2</v>
      </c>
      <c r="P574" s="19">
        <f ca="1" t="shared" si="285"/>
        <v>16.2</v>
      </c>
      <c r="Q574" s="226">
        <f ca="1" t="shared" si="279"/>
        <v>2.52</v>
      </c>
      <c r="R574" s="269">
        <f ca="1" t="shared" si="292"/>
        <v>0.911497964416686</v>
      </c>
      <c r="S574" s="266">
        <f ca="1" t="shared" si="293"/>
        <v>85.6305711931744</v>
      </c>
      <c r="T574" s="226">
        <f ca="1">(1+OFFSET('玩法产出(新)'!$C$18,MATCH(X574,'玩法产出(新)'!$B$19:$B$25,0),1)*(1-V574)+OFFSET('玩法产出(新)'!$C$18,1+MATCH(X574,'玩法产出(新)'!$B$19:$B$25,0),1)*(V574))^AA574*(1+OFFSET('玩法产出(新)'!$C$18,MATCH(X574,'玩法产出(新)'!$B$19:$B$25,0),3)*(1-V574)+OFFSET('玩法产出(新)'!$C$18,1+MATCH(X574,'玩法产出(新)'!$B$19:$B$25,0),3)*(V574))^AB574*(1+OFFSET('玩法产出(新)'!$C$18,MATCH(X574,'玩法产出(新)'!$B$19:$B$25,0),4)*(1-V574)+OFFSET('玩法产出(新)'!$C$18,1+MATCH(X574,'玩法产出(新)'!$B$19:$B$25,0),4)*(V574))^AC574*(1+OFFSET('玩法产出(新)'!$C$18,MATCH(X574,'玩法产出(新)'!$B$19:$B$25,0),5)*(1+V574)+OFFSET('玩法产出(新)'!$C$18,1+MATCH(X574,'玩法产出(新)'!$B$19:$B$25,5),1)*(V574))^AD574*(1+OFFSET('玩法产出(新)'!$C$18,MATCH(X574,'玩法产出(新)'!$B$19:$B$25,0),6)*(1+V574)+OFFSET('玩法产出(新)'!$C$18,1+MATCH(X574,'玩法产出(新)'!$B$19:$B$25,0),6)*(V574))^AE574</f>
        <v>328.208381125585</v>
      </c>
      <c r="U574" s="226">
        <f ca="1" t="shared" si="312"/>
        <v>0.172303314874975</v>
      </c>
      <c r="V574" s="226">
        <f ca="1">COUNTIF($X$124:$X574,X574)/(COUNTIF($X$124:$X$723,X574)+1)</f>
        <v>0.690721649484536</v>
      </c>
      <c r="W574" s="19">
        <v>30</v>
      </c>
      <c r="X574" s="19" t="s">
        <v>326</v>
      </c>
      <c r="Y574" s="19">
        <f t="shared" si="277"/>
        <v>46260</v>
      </c>
      <c r="Z574" s="19">
        <f ca="1" t="shared" si="294"/>
        <v>0</v>
      </c>
      <c r="AA574" s="282">
        <f ca="1" t="shared" si="295"/>
        <v>0</v>
      </c>
      <c r="AB574" s="282">
        <f ca="1" t="shared" si="296"/>
        <v>18</v>
      </c>
      <c r="AC574" s="282">
        <f ca="1" t="shared" si="297"/>
        <v>9.53385</v>
      </c>
      <c r="AD574" s="282">
        <f ca="1" t="shared" si="298"/>
        <v>2.3834625</v>
      </c>
      <c r="AE574" s="282">
        <f ca="1" t="shared" si="299"/>
        <v>0.595865625</v>
      </c>
      <c r="AF574" s="19" t="str">
        <f t="shared" si="300"/>
        <v>彩4</v>
      </c>
      <c r="AG574" s="19">
        <f>IFERROR(_xlfn.XLOOKUP(C574+1,[2]基因升级!$E$141:$E$500,[2]基因升级!$D$141:$D$500)-1,AG573)</f>
        <v>113</v>
      </c>
      <c r="AH574" s="19">
        <v>8</v>
      </c>
      <c r="AI574" s="19">
        <f t="shared" si="301"/>
        <v>10.5142500606751</v>
      </c>
      <c r="AJ574" s="19">
        <f t="shared" si="313"/>
        <v>0</v>
      </c>
      <c r="AK574" s="269">
        <v>2.0368</v>
      </c>
      <c r="AL574" s="287">
        <f t="shared" si="281"/>
        <v>19.6799999999998</v>
      </c>
      <c r="AM574" s="287">
        <f t="shared" si="282"/>
        <v>16.0799999999998</v>
      </c>
      <c r="AN574" s="287">
        <f t="shared" si="284"/>
        <v>12.4799999999999</v>
      </c>
      <c r="AO574" s="287">
        <f t="shared" si="278"/>
        <v>8.87999999999998</v>
      </c>
      <c r="AP574" s="287">
        <f t="shared" si="283"/>
        <v>5.28</v>
      </c>
      <c r="AQ574" s="19">
        <f t="shared" si="302"/>
        <v>3.78680328199092</v>
      </c>
      <c r="AR574" s="19">
        <f t="shared" si="303"/>
        <v>2.96818622455447</v>
      </c>
      <c r="AS574" s="19">
        <f t="shared" si="304"/>
        <v>2.32653475968337</v>
      </c>
      <c r="AT574" s="19">
        <f t="shared" si="305"/>
        <v>1.82359312338208</v>
      </c>
      <c r="AU574" s="19">
        <f t="shared" si="306"/>
        <v>1.42937554051373</v>
      </c>
      <c r="AV574" s="232">
        <f t="shared" si="286"/>
        <v>0.0399999999999991</v>
      </c>
      <c r="AW574" s="232">
        <f t="shared" si="287"/>
        <v>0.0399999999999991</v>
      </c>
      <c r="AX574" s="232">
        <f t="shared" si="288"/>
        <v>0.0399999999999991</v>
      </c>
      <c r="AY574" s="232">
        <f t="shared" si="289"/>
        <v>0.0399999999999991</v>
      </c>
      <c r="AZ574" s="232">
        <f t="shared" si="290"/>
        <v>0.04</v>
      </c>
    </row>
    <row r="575" spans="1:52">
      <c r="A575" s="269"/>
      <c r="C575" s="19">
        <v>452</v>
      </c>
      <c r="D575" s="86">
        <f ca="1" t="shared" si="314"/>
        <v>269.545791783591</v>
      </c>
      <c r="E575" s="251">
        <f ca="1" t="shared" si="291"/>
        <v>0.343765524134539</v>
      </c>
      <c r="F575" s="269">
        <f ca="1" t="shared" si="307"/>
        <v>521.428622126574</v>
      </c>
      <c r="G575" s="283">
        <f ca="1" t="shared" si="308"/>
        <v>179.249183584092</v>
      </c>
      <c r="H575" s="279">
        <f ca="1" t="shared" si="309"/>
        <v>0.171311992085123</v>
      </c>
      <c r="I575" s="269">
        <f ca="1">SUM($J$125:J575)/SUM($H$125:H575)</f>
        <v>0.479277173919471</v>
      </c>
      <c r="J575" s="284">
        <f t="shared" si="315"/>
        <v>0.0544728342622562</v>
      </c>
      <c r="K575" s="19">
        <f t="shared" si="276"/>
        <v>46100</v>
      </c>
      <c r="L575" s="269">
        <f t="shared" si="310"/>
        <v>3.30499999999995</v>
      </c>
      <c r="M575" s="226">
        <f ca="1" t="shared" si="311"/>
        <v>536.448</v>
      </c>
      <c r="N575" s="280">
        <f ca="1" t="shared" si="316"/>
        <v>0.116839157822852</v>
      </c>
      <c r="O575" s="226">
        <f t="shared" si="280"/>
        <v>211.2</v>
      </c>
      <c r="P575" s="19">
        <f ca="1" t="shared" si="285"/>
        <v>16.4</v>
      </c>
      <c r="Q575" s="226">
        <f ca="1" t="shared" si="279"/>
        <v>2.54</v>
      </c>
      <c r="R575" s="269">
        <f ca="1" t="shared" si="292"/>
        <v>0.913333652783927</v>
      </c>
      <c r="S575" s="266">
        <f ca="1" t="shared" si="293"/>
        <v>85.8030247252238</v>
      </c>
      <c r="T575" s="226">
        <f ca="1">(1+OFFSET('玩法产出(新)'!$C$18,MATCH(X575,'玩法产出(新)'!$B$19:$B$25,0),1)*(1-V575)+OFFSET('玩法产出(新)'!$C$18,1+MATCH(X575,'玩法产出(新)'!$B$19:$B$25,0),1)*(V575))^AA575*(1+OFFSET('玩法产出(新)'!$C$18,MATCH(X575,'玩法产出(新)'!$B$19:$B$25,0),3)*(1-V575)+OFFSET('玩法产出(新)'!$C$18,1+MATCH(X575,'玩法产出(新)'!$B$19:$B$25,0),3)*(V575))^AB575*(1+OFFSET('玩法产出(新)'!$C$18,MATCH(X575,'玩法产出(新)'!$B$19:$B$25,0),4)*(1-V575)+OFFSET('玩法产出(新)'!$C$18,1+MATCH(X575,'玩法产出(新)'!$B$19:$B$25,0),4)*(V575))^AC575*(1+OFFSET('玩法产出(新)'!$C$18,MATCH(X575,'玩法产出(新)'!$B$19:$B$25,0),5)*(1+V575)+OFFSET('玩法产出(新)'!$C$18,1+MATCH(X575,'玩法产出(新)'!$B$19:$B$25,5),1)*(V575))^AD575*(1+OFFSET('玩法产出(新)'!$C$18,MATCH(X575,'玩法产出(新)'!$B$19:$B$25,0),6)*(1+V575)+OFFSET('玩法产出(新)'!$C$18,1+MATCH(X575,'玩法产出(新)'!$B$19:$B$25,0),6)*(V575))^AE575</f>
        <v>332.060336175829</v>
      </c>
      <c r="U575" s="226">
        <f ca="1" t="shared" si="312"/>
        <v>0.17245353204943</v>
      </c>
      <c r="V575" s="226">
        <f ca="1">COUNTIF($X$124:$X575,X575)/(COUNTIF($X$124:$X$723,X575)+1)</f>
        <v>0.692783505154639</v>
      </c>
      <c r="W575" s="19">
        <v>30</v>
      </c>
      <c r="X575" s="19" t="s">
        <v>326</v>
      </c>
      <c r="Y575" s="19">
        <f t="shared" si="277"/>
        <v>46360</v>
      </c>
      <c r="Z575" s="19">
        <f ca="1" t="shared" si="294"/>
        <v>0</v>
      </c>
      <c r="AA575" s="282">
        <f ca="1" t="shared" si="295"/>
        <v>0</v>
      </c>
      <c r="AB575" s="282">
        <f ca="1" t="shared" si="296"/>
        <v>18</v>
      </c>
      <c r="AC575" s="282">
        <f ca="1" t="shared" si="297"/>
        <v>9.5547</v>
      </c>
      <c r="AD575" s="282">
        <f ca="1" t="shared" si="298"/>
        <v>2.388675</v>
      </c>
      <c r="AE575" s="282">
        <f ca="1" t="shared" si="299"/>
        <v>0.59716875</v>
      </c>
      <c r="AF575" s="19" t="str">
        <f t="shared" si="300"/>
        <v>彩4</v>
      </c>
      <c r="AG575" s="19">
        <f>IFERROR(_xlfn.XLOOKUP(C575+1,[2]基因升级!$E$141:$E$500,[2]基因升级!$D$141:$D$500)-1,AG574)</f>
        <v>113</v>
      </c>
      <c r="AH575" s="19">
        <v>8</v>
      </c>
      <c r="AI575" s="19">
        <f t="shared" si="301"/>
        <v>10.5142500606751</v>
      </c>
      <c r="AJ575" s="19">
        <f t="shared" si="313"/>
        <v>0</v>
      </c>
      <c r="AK575" s="269">
        <v>2.0368</v>
      </c>
      <c r="AL575" s="287">
        <f t="shared" si="281"/>
        <v>19.7199999999998</v>
      </c>
      <c r="AM575" s="287">
        <f t="shared" si="282"/>
        <v>16.1199999999998</v>
      </c>
      <c r="AN575" s="287">
        <f t="shared" si="284"/>
        <v>12.5199999999999</v>
      </c>
      <c r="AO575" s="287">
        <f t="shared" si="278"/>
        <v>8.91999999999998</v>
      </c>
      <c r="AP575" s="287">
        <f t="shared" si="283"/>
        <v>5.32</v>
      </c>
      <c r="AQ575" s="19">
        <f t="shared" si="302"/>
        <v>3.79706556205105</v>
      </c>
      <c r="AR575" s="19">
        <f t="shared" si="303"/>
        <v>2.97623004305751</v>
      </c>
      <c r="AS575" s="19">
        <f t="shared" si="304"/>
        <v>2.33283969540239</v>
      </c>
      <c r="AT575" s="19">
        <f t="shared" si="305"/>
        <v>1.82853508153367</v>
      </c>
      <c r="AU575" s="19">
        <f t="shared" si="306"/>
        <v>1.43324916452204</v>
      </c>
      <c r="AV575" s="232">
        <f t="shared" si="286"/>
        <v>0.0399999999999991</v>
      </c>
      <c r="AW575" s="232">
        <f t="shared" si="287"/>
        <v>0.0399999999999991</v>
      </c>
      <c r="AX575" s="232">
        <f t="shared" si="288"/>
        <v>0.0399999999999991</v>
      </c>
      <c r="AY575" s="232">
        <f t="shared" si="289"/>
        <v>0.0399999999999991</v>
      </c>
      <c r="AZ575" s="232">
        <f t="shared" si="290"/>
        <v>0.04</v>
      </c>
    </row>
    <row r="576" spans="1:52">
      <c r="A576" s="269"/>
      <c r="C576" s="19">
        <v>453</v>
      </c>
      <c r="D576" s="86">
        <f ca="1" t="shared" si="314"/>
        <v>269.888687684431</v>
      </c>
      <c r="E576" s="251">
        <f ca="1" t="shared" si="291"/>
        <v>0.342895900840339</v>
      </c>
      <c r="F576" s="269">
        <f ca="1" t="shared" si="307"/>
        <v>523.247654366985</v>
      </c>
      <c r="G576" s="283">
        <f ca="1" t="shared" si="308"/>
        <v>179.419475806762</v>
      </c>
      <c r="H576" s="279">
        <f ca="1" t="shared" si="309"/>
        <v>0.170292222669758</v>
      </c>
      <c r="I576" s="269">
        <f ca="1">SUM($J$125:J576)/SUM($H$125:H576)</f>
        <v>0.479116344031048</v>
      </c>
      <c r="J576" s="284">
        <f t="shared" si="315"/>
        <v>0.0543694598309514</v>
      </c>
      <c r="K576" s="19">
        <f t="shared" si="276"/>
        <v>46200</v>
      </c>
      <c r="L576" s="269">
        <f t="shared" si="310"/>
        <v>3.30999999999995</v>
      </c>
      <c r="M576" s="226">
        <f ca="1" t="shared" si="311"/>
        <v>540.671999999999</v>
      </c>
      <c r="N576" s="280">
        <f ca="1" t="shared" si="316"/>
        <v>0.115922762838835</v>
      </c>
      <c r="O576" s="226">
        <f t="shared" si="280"/>
        <v>211.2</v>
      </c>
      <c r="P576" s="19">
        <f ca="1" t="shared" si="285"/>
        <v>16.6</v>
      </c>
      <c r="Q576" s="226">
        <f ca="1" t="shared" si="279"/>
        <v>2.56</v>
      </c>
      <c r="R576" s="269">
        <f ca="1" t="shared" si="292"/>
        <v>0.915170939387427</v>
      </c>
      <c r="S576" s="266">
        <f ca="1" t="shared" si="293"/>
        <v>85.9756284033944</v>
      </c>
      <c r="T576" s="226">
        <f ca="1">(1+OFFSET('玩法产出(新)'!$C$18,MATCH(X576,'玩法产出(新)'!$B$19:$B$25,0),1)*(1-V576)+OFFSET('玩法产出(新)'!$C$18,1+MATCH(X576,'玩法产出(新)'!$B$19:$B$25,0),1)*(V576))^AA576*(1+OFFSET('玩法产出(新)'!$C$18,MATCH(X576,'玩法产出(新)'!$B$19:$B$25,0),3)*(1-V576)+OFFSET('玩法产出(新)'!$C$18,1+MATCH(X576,'玩法产出(新)'!$B$19:$B$25,0),3)*(V576))^AB576*(1+OFFSET('玩法产出(新)'!$C$18,MATCH(X576,'玩法产出(新)'!$B$19:$B$25,0),4)*(1-V576)+OFFSET('玩法产出(新)'!$C$18,1+MATCH(X576,'玩法产出(新)'!$B$19:$B$25,0),4)*(V576))^AC576*(1+OFFSET('玩法产出(新)'!$C$18,MATCH(X576,'玩法产出(新)'!$B$19:$B$25,0),5)*(1+V576)+OFFSET('玩法产出(新)'!$C$18,1+MATCH(X576,'玩法产出(新)'!$B$19:$B$25,5),1)*(V576))^AD576*(1+OFFSET('玩法产出(新)'!$C$18,MATCH(X576,'玩法产出(新)'!$B$19:$B$25,0),6)*(1+V576)+OFFSET('玩法产出(新)'!$C$18,1+MATCH(X576,'玩法产出(新)'!$B$19:$B$25,0),6)*(V576))^AE576</f>
        <v>335.960911864933</v>
      </c>
      <c r="U576" s="226">
        <f ca="1" t="shared" si="312"/>
        <v>0.172603678170553</v>
      </c>
      <c r="V576" s="226">
        <f ca="1">COUNTIF($X$124:$X576,X576)/(COUNTIF($X$124:$X$723,X576)+1)</f>
        <v>0.694845360824742</v>
      </c>
      <c r="W576" s="19">
        <v>30</v>
      </c>
      <c r="X576" s="19" t="s">
        <v>326</v>
      </c>
      <c r="Y576" s="19">
        <f t="shared" si="277"/>
        <v>46460</v>
      </c>
      <c r="Z576" s="19">
        <f ca="1" t="shared" si="294"/>
        <v>0</v>
      </c>
      <c r="AA576" s="282">
        <f ca="1" t="shared" si="295"/>
        <v>0</v>
      </c>
      <c r="AB576" s="282">
        <f ca="1" t="shared" si="296"/>
        <v>18</v>
      </c>
      <c r="AC576" s="282">
        <f ca="1" t="shared" si="297"/>
        <v>9.57555</v>
      </c>
      <c r="AD576" s="282">
        <f ca="1" t="shared" si="298"/>
        <v>2.3938875</v>
      </c>
      <c r="AE576" s="282">
        <f ca="1" t="shared" si="299"/>
        <v>0.598471875</v>
      </c>
      <c r="AF576" s="19" t="str">
        <f t="shared" si="300"/>
        <v>彩4</v>
      </c>
      <c r="AG576" s="19">
        <f>IFERROR(_xlfn.XLOOKUP(C576+1,[2]基因升级!$E$141:$E$500,[2]基因升级!$D$141:$D$500)-1,AG575)</f>
        <v>113</v>
      </c>
      <c r="AH576" s="19">
        <v>8</v>
      </c>
      <c r="AI576" s="19">
        <f t="shared" si="301"/>
        <v>10.5142500606751</v>
      </c>
      <c r="AJ576" s="19">
        <f t="shared" si="313"/>
        <v>0</v>
      </c>
      <c r="AK576" s="269">
        <v>2.0368</v>
      </c>
      <c r="AL576" s="287">
        <f t="shared" si="281"/>
        <v>19.7599999999997</v>
      </c>
      <c r="AM576" s="287">
        <f t="shared" si="282"/>
        <v>16.1599999999998</v>
      </c>
      <c r="AN576" s="287">
        <f t="shared" si="284"/>
        <v>12.5599999999999</v>
      </c>
      <c r="AO576" s="287">
        <f t="shared" si="278"/>
        <v>8.95999999999998</v>
      </c>
      <c r="AP576" s="287">
        <f t="shared" si="283"/>
        <v>5.36</v>
      </c>
      <c r="AQ576" s="19">
        <f t="shared" si="302"/>
        <v>3.80735565300713</v>
      </c>
      <c r="AR576" s="19">
        <f t="shared" si="303"/>
        <v>2.98429566040037</v>
      </c>
      <c r="AS576" s="19">
        <f t="shared" si="304"/>
        <v>2.33916171756907</v>
      </c>
      <c r="AT576" s="19">
        <f t="shared" si="305"/>
        <v>1.83349043244818</v>
      </c>
      <c r="AU576" s="19">
        <f t="shared" si="306"/>
        <v>1.43713328609557</v>
      </c>
      <c r="AV576" s="232">
        <f t="shared" si="286"/>
        <v>0.0399999999999991</v>
      </c>
      <c r="AW576" s="232">
        <f t="shared" si="287"/>
        <v>0.0399999999999991</v>
      </c>
      <c r="AX576" s="232">
        <f t="shared" si="288"/>
        <v>0.0399999999999991</v>
      </c>
      <c r="AY576" s="232">
        <f t="shared" si="289"/>
        <v>0.0399999999999991</v>
      </c>
      <c r="AZ576" s="232">
        <f t="shared" si="290"/>
        <v>0.04</v>
      </c>
    </row>
    <row r="577" spans="1:52">
      <c r="A577" s="269"/>
      <c r="C577" s="19">
        <v>454</v>
      </c>
      <c r="D577" s="86">
        <f ca="1" t="shared" si="314"/>
        <v>270.230728557045</v>
      </c>
      <c r="E577" s="251">
        <f ca="1" t="shared" si="291"/>
        <v>0.342040872614135</v>
      </c>
      <c r="F577" s="269">
        <f ca="1" t="shared" si="307"/>
        <v>525.050592794662</v>
      </c>
      <c r="G577" s="283">
        <f ca="1" t="shared" si="308"/>
        <v>179.588762926055</v>
      </c>
      <c r="H577" s="279">
        <f ca="1" t="shared" si="309"/>
        <v>0.169287119293216</v>
      </c>
      <c r="I577" s="269">
        <f ca="1">SUM($J$125:J577)/SUM($H$125:H577)</f>
        <v>0.478958068583074</v>
      </c>
      <c r="J577" s="284">
        <f t="shared" si="315"/>
        <v>0.0542664882638064</v>
      </c>
      <c r="K577" s="19">
        <f t="shared" si="276"/>
        <v>46300</v>
      </c>
      <c r="L577" s="269">
        <f t="shared" si="310"/>
        <v>3.31499999999995</v>
      </c>
      <c r="M577" s="226">
        <f ca="1" t="shared" si="311"/>
        <v>544.895999999999</v>
      </c>
      <c r="N577" s="280">
        <f ca="1" t="shared" si="316"/>
        <v>0.115020631029395</v>
      </c>
      <c r="O577" s="226">
        <f t="shared" si="280"/>
        <v>211.2</v>
      </c>
      <c r="P577" s="19">
        <f ca="1" t="shared" si="285"/>
        <v>16.8</v>
      </c>
      <c r="Q577" s="226">
        <f ca="1" t="shared" si="279"/>
        <v>2.58</v>
      </c>
      <c r="R577" s="269">
        <f ca="1" t="shared" si="292"/>
        <v>0.917009823471736</v>
      </c>
      <c r="S577" s="266">
        <f ca="1" t="shared" si="293"/>
        <v>86.1483821567153</v>
      </c>
      <c r="T577" s="226">
        <f ca="1">(1+OFFSET('玩法产出(新)'!$C$18,MATCH(X577,'玩法产出(新)'!$B$19:$B$25,0),1)*(1-V577)+OFFSET('玩法产出(新)'!$C$18,1+MATCH(X577,'玩法产出(新)'!$B$19:$B$25,0),1)*(V577))^AA577*(1+OFFSET('玩法产出(新)'!$C$18,MATCH(X577,'玩法产出(新)'!$B$19:$B$25,0),3)*(1-V577)+OFFSET('玩法产出(新)'!$C$18,1+MATCH(X577,'玩法产出(新)'!$B$19:$B$25,0),3)*(V577))^AB577*(1+OFFSET('玩法产出(新)'!$C$18,MATCH(X577,'玩法产出(新)'!$B$19:$B$25,0),4)*(1-V577)+OFFSET('玩法产出(新)'!$C$18,1+MATCH(X577,'玩法产出(新)'!$B$19:$B$25,0),4)*(V577))^AC577*(1+OFFSET('玩法产出(新)'!$C$18,MATCH(X577,'玩法产出(新)'!$B$19:$B$25,0),5)*(1+V577)+OFFSET('玩法产出(新)'!$C$18,1+MATCH(X577,'玩法产出(新)'!$B$19:$B$25,5),1)*(V577))^AD577*(1+OFFSET('玩法产出(新)'!$C$18,MATCH(X577,'玩法产出(新)'!$B$19:$B$25,0),6)*(1+V577)+OFFSET('玩法产出(新)'!$C$18,1+MATCH(X577,'玩法产出(新)'!$B$19:$B$25,0),6)*(V577))^AE577</f>
        <v>339.910757402581</v>
      </c>
      <c r="U577" s="226">
        <f ca="1" t="shared" si="312"/>
        <v>0.172753753320933</v>
      </c>
      <c r="V577" s="226">
        <f ca="1">COUNTIF($X$124:$X577,X577)/(COUNTIF($X$124:$X$723,X577)+1)</f>
        <v>0.696907216494845</v>
      </c>
      <c r="W577" s="19">
        <v>30</v>
      </c>
      <c r="X577" s="19" t="s">
        <v>326</v>
      </c>
      <c r="Y577" s="19">
        <f t="shared" si="277"/>
        <v>46560</v>
      </c>
      <c r="Z577" s="19">
        <f ca="1" t="shared" si="294"/>
        <v>0</v>
      </c>
      <c r="AA577" s="282">
        <f ca="1" t="shared" si="295"/>
        <v>0</v>
      </c>
      <c r="AB577" s="282">
        <f ca="1" t="shared" si="296"/>
        <v>18</v>
      </c>
      <c r="AC577" s="282">
        <f ca="1" t="shared" si="297"/>
        <v>9.5964</v>
      </c>
      <c r="AD577" s="282">
        <f ca="1" t="shared" si="298"/>
        <v>2.3991</v>
      </c>
      <c r="AE577" s="282">
        <f ca="1" t="shared" si="299"/>
        <v>0.599775</v>
      </c>
      <c r="AF577" s="19" t="str">
        <f t="shared" si="300"/>
        <v>彩4</v>
      </c>
      <c r="AG577" s="19">
        <f>IFERROR(_xlfn.XLOOKUP(C577+1,[2]基因升级!$E$141:$E$500,[2]基因升级!$D$141:$D$500)-1,AG576)</f>
        <v>113</v>
      </c>
      <c r="AH577" s="19">
        <v>8</v>
      </c>
      <c r="AI577" s="19">
        <f t="shared" si="301"/>
        <v>10.5142500606751</v>
      </c>
      <c r="AJ577" s="19">
        <f t="shared" si="313"/>
        <v>0</v>
      </c>
      <c r="AK577" s="269">
        <v>2.0368</v>
      </c>
      <c r="AL577" s="287">
        <f t="shared" si="281"/>
        <v>19.7999999999997</v>
      </c>
      <c r="AM577" s="287">
        <f t="shared" si="282"/>
        <v>16.1999999999998</v>
      </c>
      <c r="AN577" s="287">
        <f t="shared" si="284"/>
        <v>12.5999999999999</v>
      </c>
      <c r="AO577" s="287">
        <f t="shared" si="278"/>
        <v>8.99999999999998</v>
      </c>
      <c r="AP577" s="287">
        <f t="shared" si="283"/>
        <v>5.4</v>
      </c>
      <c r="AQ577" s="19">
        <f t="shared" si="302"/>
        <v>3.817673630227</v>
      </c>
      <c r="AR577" s="19">
        <f t="shared" si="303"/>
        <v>2.99238313565818</v>
      </c>
      <c r="AS577" s="19">
        <f t="shared" si="304"/>
        <v>2.3455008724879</v>
      </c>
      <c r="AT577" s="19">
        <f t="shared" si="305"/>
        <v>1.83845921242015</v>
      </c>
      <c r="AU577" s="19">
        <f t="shared" si="306"/>
        <v>1.44102793368283</v>
      </c>
      <c r="AV577" s="232">
        <f t="shared" si="286"/>
        <v>0.0399999999999991</v>
      </c>
      <c r="AW577" s="232">
        <f t="shared" si="287"/>
        <v>0.0399999999999991</v>
      </c>
      <c r="AX577" s="232">
        <f t="shared" si="288"/>
        <v>0.0399999999999991</v>
      </c>
      <c r="AY577" s="232">
        <f t="shared" si="289"/>
        <v>0.0399999999999991</v>
      </c>
      <c r="AZ577" s="232">
        <f t="shared" si="290"/>
        <v>0.04</v>
      </c>
    </row>
    <row r="578" spans="1:52">
      <c r="A578" s="269"/>
      <c r="C578" s="19">
        <v>455</v>
      </c>
      <c r="D578" s="86">
        <f ca="1" t="shared" si="314"/>
        <v>270.571928663748</v>
      </c>
      <c r="E578" s="251">
        <f ca="1" t="shared" si="291"/>
        <v>0.341200106702416</v>
      </c>
      <c r="F578" s="269">
        <f ca="1" t="shared" si="307"/>
        <v>526.837640856756</v>
      </c>
      <c r="G578" s="283">
        <f ca="1" t="shared" si="308"/>
        <v>179.757059275174</v>
      </c>
      <c r="H578" s="279">
        <f ca="1" t="shared" si="309"/>
        <v>0.168296349119487</v>
      </c>
      <c r="I578" s="269">
        <f ca="1">SUM($J$125:J578)/SUM($H$125:H578)</f>
        <v>0.478802299054053</v>
      </c>
      <c r="J578" s="284">
        <f t="shared" si="315"/>
        <v>0.0541639171525929</v>
      </c>
      <c r="K578" s="19">
        <f t="shared" ref="K578:K641" si="317">K577+100</f>
        <v>46400</v>
      </c>
      <c r="L578" s="269">
        <f t="shared" si="310"/>
        <v>3.31999999999995</v>
      </c>
      <c r="M578" s="226">
        <f ca="1" t="shared" si="311"/>
        <v>549.12</v>
      </c>
      <c r="N578" s="280">
        <f ca="1" t="shared" si="316"/>
        <v>0.114132431966922</v>
      </c>
      <c r="O578" s="226">
        <f t="shared" si="280"/>
        <v>211.2</v>
      </c>
      <c r="P578" s="19">
        <f ca="1" t="shared" si="285"/>
        <v>17</v>
      </c>
      <c r="Q578" s="226">
        <f ca="1" t="shared" si="279"/>
        <v>2.6</v>
      </c>
      <c r="R578" s="269">
        <f ca="1" t="shared" si="292"/>
        <v>0.918850304282278</v>
      </c>
      <c r="S578" s="266">
        <f ca="1" t="shared" si="293"/>
        <v>86.3212859142982</v>
      </c>
      <c r="T578" s="226">
        <f ca="1">(1+OFFSET('玩法产出(新)'!$C$18,MATCH(X578,'玩法产出(新)'!$B$19:$B$25,0),1)*(1-V578)+OFFSET('玩法产出(新)'!$C$18,1+MATCH(X578,'玩法产出(新)'!$B$19:$B$25,0),1)*(V578))^AA578*(1+OFFSET('玩法产出(新)'!$C$18,MATCH(X578,'玩法产出(新)'!$B$19:$B$25,0),3)*(1-V578)+OFFSET('玩法产出(新)'!$C$18,1+MATCH(X578,'玩法产出(新)'!$B$19:$B$25,0),3)*(V578))^AB578*(1+OFFSET('玩法产出(新)'!$C$18,MATCH(X578,'玩法产出(新)'!$B$19:$B$25,0),4)*(1-V578)+OFFSET('玩法产出(新)'!$C$18,1+MATCH(X578,'玩法产出(新)'!$B$19:$B$25,0),4)*(V578))^AC578*(1+OFFSET('玩法产出(新)'!$C$18,MATCH(X578,'玩法产出(新)'!$B$19:$B$25,0),5)*(1+V578)+OFFSET('玩法产出(新)'!$C$18,1+MATCH(X578,'玩法产出(新)'!$B$19:$B$25,5),1)*(V578))^AD578*(1+OFFSET('玩法产出(新)'!$C$18,MATCH(X578,'玩法产出(新)'!$B$19:$B$25,0),6)*(1+V578)+OFFSET('玩法产出(新)'!$C$18,1+MATCH(X578,'玩法产出(新)'!$B$19:$B$25,0),6)*(V578))^AE578</f>
        <v>343.910531082498</v>
      </c>
      <c r="U578" s="226">
        <f ca="1" t="shared" si="312"/>
        <v>0.172903757582901</v>
      </c>
      <c r="V578" s="226">
        <f ca="1">COUNTIF($X$124:$X578,X578)/(COUNTIF($X$124:$X$723,X578)+1)</f>
        <v>0.698969072164948</v>
      </c>
      <c r="W578" s="19">
        <v>30</v>
      </c>
      <c r="X578" s="19" t="s">
        <v>326</v>
      </c>
      <c r="Y578" s="19">
        <f t="shared" si="277"/>
        <v>46660</v>
      </c>
      <c r="Z578" s="19">
        <f ca="1" t="shared" si="294"/>
        <v>0</v>
      </c>
      <c r="AA578" s="282">
        <f ca="1" t="shared" si="295"/>
        <v>0</v>
      </c>
      <c r="AB578" s="282">
        <f ca="1" t="shared" si="296"/>
        <v>18</v>
      </c>
      <c r="AC578" s="282">
        <f ca="1" t="shared" si="297"/>
        <v>9.61725</v>
      </c>
      <c r="AD578" s="282">
        <f ca="1" t="shared" si="298"/>
        <v>2.4043125</v>
      </c>
      <c r="AE578" s="282">
        <f ca="1" t="shared" si="299"/>
        <v>0.601078125</v>
      </c>
      <c r="AF578" s="19" t="str">
        <f t="shared" si="300"/>
        <v>彩4</v>
      </c>
      <c r="AG578" s="19">
        <f>IFERROR(_xlfn.XLOOKUP(C578+1,[2]基因升级!$E$141:$E$500,[2]基因升级!$D$141:$D$500)-1,AG577)</f>
        <v>113</v>
      </c>
      <c r="AH578" s="19">
        <v>8</v>
      </c>
      <c r="AI578" s="19">
        <f t="shared" si="301"/>
        <v>10.5142500606751</v>
      </c>
      <c r="AJ578" s="19">
        <f t="shared" si="313"/>
        <v>0</v>
      </c>
      <c r="AK578" s="269">
        <v>2.0368</v>
      </c>
      <c r="AL578" s="287">
        <f t="shared" si="281"/>
        <v>19.8399999999997</v>
      </c>
      <c r="AM578" s="287">
        <f t="shared" si="282"/>
        <v>16.2399999999998</v>
      </c>
      <c r="AN578" s="287">
        <f t="shared" si="284"/>
        <v>12.6399999999999</v>
      </c>
      <c r="AO578" s="287">
        <f t="shared" si="278"/>
        <v>9.03999999999998</v>
      </c>
      <c r="AP578" s="287">
        <f t="shared" si="283"/>
        <v>5.44</v>
      </c>
      <c r="AQ578" s="19">
        <f t="shared" si="302"/>
        <v>3.82801956928275</v>
      </c>
      <c r="AR578" s="19">
        <f t="shared" si="303"/>
        <v>3.00049252806612</v>
      </c>
      <c r="AS578" s="19">
        <f t="shared" si="304"/>
        <v>2.35185720658881</v>
      </c>
      <c r="AT578" s="19">
        <f t="shared" si="305"/>
        <v>1.84344145784249</v>
      </c>
      <c r="AU578" s="19">
        <f t="shared" si="306"/>
        <v>1.44493313580946</v>
      </c>
      <c r="AV578" s="232">
        <f t="shared" si="286"/>
        <v>0.0399999999999991</v>
      </c>
      <c r="AW578" s="232">
        <f t="shared" si="287"/>
        <v>0.0399999999999991</v>
      </c>
      <c r="AX578" s="232">
        <f t="shared" si="288"/>
        <v>0.0399999999999991</v>
      </c>
      <c r="AY578" s="232">
        <f t="shared" si="289"/>
        <v>0.0399999999999991</v>
      </c>
      <c r="AZ578" s="232">
        <f t="shared" si="290"/>
        <v>0.04</v>
      </c>
    </row>
    <row r="579" spans="1:52">
      <c r="A579" s="269"/>
      <c r="C579" s="19">
        <v>456</v>
      </c>
      <c r="D579" s="86">
        <f ca="1" t="shared" si="314"/>
        <v>270.912301944247</v>
      </c>
      <c r="E579" s="251">
        <f ca="1" t="shared" si="291"/>
        <v>0.340373280498974</v>
      </c>
      <c r="F579" s="269">
        <f ca="1" t="shared" si="307"/>
        <v>528.608998335219</v>
      </c>
      <c r="G579" s="283">
        <f ca="1" t="shared" si="308"/>
        <v>179.924378864635</v>
      </c>
      <c r="H579" s="279">
        <f ca="1" t="shared" si="309"/>
        <v>0.167319589460476</v>
      </c>
      <c r="I579" s="269">
        <f ca="1">SUM($J$125:J579)/SUM($H$125:H579)</f>
        <v>0.478648988150838</v>
      </c>
      <c r="J579" s="284">
        <f t="shared" si="315"/>
        <v>0.0540617441085516</v>
      </c>
      <c r="K579" s="19">
        <f t="shared" si="317"/>
        <v>46500</v>
      </c>
      <c r="L579" s="269">
        <f t="shared" si="310"/>
        <v>3.32499999999995</v>
      </c>
      <c r="M579" s="226">
        <f ca="1" t="shared" si="311"/>
        <v>553.343999999999</v>
      </c>
      <c r="N579" s="280">
        <f ca="1" t="shared" si="316"/>
        <v>0.113257845351939</v>
      </c>
      <c r="O579" s="226">
        <f t="shared" si="280"/>
        <v>211.2</v>
      </c>
      <c r="P579" s="19">
        <f ca="1" t="shared" si="285"/>
        <v>17.2</v>
      </c>
      <c r="Q579" s="226">
        <f ca="1" t="shared" si="279"/>
        <v>2.62</v>
      </c>
      <c r="R579" s="269">
        <f ca="1" t="shared" si="292"/>
        <v>0.920692381065353</v>
      </c>
      <c r="S579" s="266">
        <f ca="1" t="shared" si="293"/>
        <v>86.4943396053367</v>
      </c>
      <c r="T579" s="226">
        <f ca="1">(1+OFFSET('玩法产出(新)'!$C$18,MATCH(X579,'玩法产出(新)'!$B$19:$B$25,0),1)*(1-V579)+OFFSET('玩法产出(新)'!$C$18,1+MATCH(X579,'玩法产出(新)'!$B$19:$B$25,0),1)*(V579))^AA579*(1+OFFSET('玩法产出(新)'!$C$18,MATCH(X579,'玩法产出(新)'!$B$19:$B$25,0),3)*(1-V579)+OFFSET('玩法产出(新)'!$C$18,1+MATCH(X579,'玩法产出(新)'!$B$19:$B$25,0),3)*(V579))^AB579*(1+OFFSET('玩法产出(新)'!$C$18,MATCH(X579,'玩法产出(新)'!$B$19:$B$25,0),4)*(1-V579)+OFFSET('玩法产出(新)'!$C$18,1+MATCH(X579,'玩法产出(新)'!$B$19:$B$25,0),4)*(V579))^AC579*(1+OFFSET('玩法产出(新)'!$C$18,MATCH(X579,'玩法产出(新)'!$B$19:$B$25,0),5)*(1+V579)+OFFSET('玩法产出(新)'!$C$18,1+MATCH(X579,'玩法产出(新)'!$B$19:$B$25,5),1)*(V579))^AD579*(1+OFFSET('玩法产出(新)'!$C$18,MATCH(X579,'玩法产出(新)'!$B$19:$B$25,0),6)*(1+V579)+OFFSET('玩法产出(新)'!$C$18,1+MATCH(X579,'玩法产出(新)'!$B$19:$B$25,0),6)*(V579))^AE579</f>
        <v>347.960900414785</v>
      </c>
      <c r="U579" s="226">
        <f ca="1" t="shared" si="312"/>
        <v>0.173053691038484</v>
      </c>
      <c r="V579" s="226">
        <f ca="1">COUNTIF($X$124:$X579,X579)/(COUNTIF($X$124:$X$723,X579)+1)</f>
        <v>0.701030927835051</v>
      </c>
      <c r="W579" s="19">
        <v>30</v>
      </c>
      <c r="X579" s="19" t="s">
        <v>326</v>
      </c>
      <c r="Y579" s="19">
        <f t="shared" ref="Y579:Y642" si="318">Y578+100</f>
        <v>46760</v>
      </c>
      <c r="Z579" s="19">
        <f ca="1" t="shared" si="294"/>
        <v>0</v>
      </c>
      <c r="AA579" s="282">
        <f ca="1" t="shared" si="295"/>
        <v>0</v>
      </c>
      <c r="AB579" s="282">
        <f ca="1" t="shared" si="296"/>
        <v>18</v>
      </c>
      <c r="AC579" s="282">
        <f ca="1" t="shared" si="297"/>
        <v>9.6381</v>
      </c>
      <c r="AD579" s="282">
        <f ca="1" t="shared" si="298"/>
        <v>2.409525</v>
      </c>
      <c r="AE579" s="282">
        <f ca="1" t="shared" si="299"/>
        <v>0.60238125</v>
      </c>
      <c r="AF579" s="19" t="str">
        <f t="shared" si="300"/>
        <v>彩4</v>
      </c>
      <c r="AG579" s="19">
        <f>IFERROR(_xlfn.XLOOKUP(C579+1,[2]基因升级!$E$141:$E$500,[2]基因升级!$D$141:$D$500)-1,AG578)</f>
        <v>113</v>
      </c>
      <c r="AH579" s="19">
        <v>8</v>
      </c>
      <c r="AI579" s="19">
        <f t="shared" si="301"/>
        <v>10.5142500606751</v>
      </c>
      <c r="AJ579" s="19">
        <f t="shared" si="313"/>
        <v>0</v>
      </c>
      <c r="AK579" s="269">
        <v>2.0368</v>
      </c>
      <c r="AL579" s="287">
        <f t="shared" si="281"/>
        <v>19.8799999999997</v>
      </c>
      <c r="AM579" s="287">
        <f t="shared" si="282"/>
        <v>16.2799999999998</v>
      </c>
      <c r="AN579" s="287">
        <f t="shared" si="284"/>
        <v>12.6799999999999</v>
      </c>
      <c r="AO579" s="287">
        <f t="shared" si="278"/>
        <v>9.07999999999998</v>
      </c>
      <c r="AP579" s="287">
        <f t="shared" si="283"/>
        <v>5.48</v>
      </c>
      <c r="AQ579" s="19">
        <f t="shared" si="302"/>
        <v>3.83839354595127</v>
      </c>
      <c r="AR579" s="19">
        <f t="shared" si="303"/>
        <v>3.00862389701993</v>
      </c>
      <c r="AS579" s="19">
        <f t="shared" si="304"/>
        <v>2.35823076642759</v>
      </c>
      <c r="AT579" s="19">
        <f t="shared" si="305"/>
        <v>1.84843720520672</v>
      </c>
      <c r="AU579" s="19">
        <f t="shared" si="306"/>
        <v>1.44884892107836</v>
      </c>
      <c r="AV579" s="232">
        <f t="shared" si="286"/>
        <v>0.0399999999999991</v>
      </c>
      <c r="AW579" s="232">
        <f t="shared" si="287"/>
        <v>0.0399999999999991</v>
      </c>
      <c r="AX579" s="232">
        <f t="shared" si="288"/>
        <v>0.0399999999999991</v>
      </c>
      <c r="AY579" s="232">
        <f t="shared" si="289"/>
        <v>0.0399999999999991</v>
      </c>
      <c r="AZ579" s="232">
        <f t="shared" si="290"/>
        <v>0.04</v>
      </c>
    </row>
    <row r="580" spans="1:52">
      <c r="A580" s="269"/>
      <c r="C580" s="19">
        <v>457</v>
      </c>
      <c r="D580" s="86">
        <f ca="1" t="shared" si="314"/>
        <v>271.251862025407</v>
      </c>
      <c r="E580" s="251">
        <f ca="1" t="shared" si="291"/>
        <v>0.339560081160345</v>
      </c>
      <c r="F580" s="269">
        <f ca="1" t="shared" si="307"/>
        <v>530.364861430765</v>
      </c>
      <c r="G580" s="283">
        <f ca="1" t="shared" si="308"/>
        <v>180.090735392025</v>
      </c>
      <c r="H580" s="279">
        <f ca="1" t="shared" si="309"/>
        <v>0.166356527390604</v>
      </c>
      <c r="I580" s="269">
        <f ca="1">SUM($J$125:J580)/SUM($H$125:H580)</f>
        <v>0.478498089768946</v>
      </c>
      <c r="J580" s="284">
        <f t="shared" si="315"/>
        <v>0.0539599667622213</v>
      </c>
      <c r="K580" s="19">
        <f t="shared" si="317"/>
        <v>46600</v>
      </c>
      <c r="L580" s="269">
        <f t="shared" si="310"/>
        <v>3.32999999999995</v>
      </c>
      <c r="M580" s="226">
        <f ca="1" t="shared" si="311"/>
        <v>557.567999999999</v>
      </c>
      <c r="N580" s="280">
        <f ca="1" t="shared" si="316"/>
        <v>0.112396560628355</v>
      </c>
      <c r="O580" s="226">
        <f t="shared" si="280"/>
        <v>211.2</v>
      </c>
      <c r="P580" s="19">
        <f ca="1" t="shared" si="285"/>
        <v>17.4</v>
      </c>
      <c r="Q580" s="226">
        <f ca="1" t="shared" si="279"/>
        <v>2.64</v>
      </c>
      <c r="R580" s="269">
        <f ca="1" t="shared" si="292"/>
        <v>0.922536053068132</v>
      </c>
      <c r="S580" s="266">
        <f ca="1" t="shared" si="293"/>
        <v>86.6675431591064</v>
      </c>
      <c r="T580" s="226">
        <f ca="1">(1+OFFSET('玩法产出(新)'!$C$18,MATCH(X580,'玩法产出(新)'!$B$19:$B$25,0),1)*(1-V580)+OFFSET('玩法产出(新)'!$C$18,1+MATCH(X580,'玩法产出(新)'!$B$19:$B$25,0),1)*(V580))^AA580*(1+OFFSET('玩法产出(新)'!$C$18,MATCH(X580,'玩法产出(新)'!$B$19:$B$25,0),3)*(1-V580)+OFFSET('玩法产出(新)'!$C$18,1+MATCH(X580,'玩法产出(新)'!$B$19:$B$25,0),3)*(V580))^AB580*(1+OFFSET('玩法产出(新)'!$C$18,MATCH(X580,'玩法产出(新)'!$B$19:$B$25,0),4)*(1-V580)+OFFSET('玩法产出(新)'!$C$18,1+MATCH(X580,'玩法产出(新)'!$B$19:$B$25,0),4)*(V580))^AC580*(1+OFFSET('玩法产出(新)'!$C$18,MATCH(X580,'玩法产出(新)'!$B$19:$B$25,0),5)*(1+V580)+OFFSET('玩法产出(新)'!$C$18,1+MATCH(X580,'玩法产出(新)'!$B$19:$B$25,5),1)*(V580))^AD580*(1+OFFSET('玩法产出(新)'!$C$18,MATCH(X580,'玩法产出(新)'!$B$19:$B$25,0),6)*(1+V580)+OFFSET('玩法产出(新)'!$C$18,1+MATCH(X580,'玩法产出(新)'!$B$19:$B$25,0),6)*(V580))^AE580</f>
        <v>352.062542260257</v>
      </c>
      <c r="U580" s="226">
        <f ca="1" t="shared" si="312"/>
        <v>0.173203553769769</v>
      </c>
      <c r="V580" s="226">
        <f ca="1">COUNTIF($X$124:$X580,X580)/(COUNTIF($X$124:$X$723,X580)+1)</f>
        <v>0.703092783505155</v>
      </c>
      <c r="W580" s="19">
        <v>30</v>
      </c>
      <c r="X580" s="19" t="s">
        <v>326</v>
      </c>
      <c r="Y580" s="19">
        <f t="shared" si="318"/>
        <v>46860</v>
      </c>
      <c r="Z580" s="19">
        <f ca="1" t="shared" si="294"/>
        <v>0</v>
      </c>
      <c r="AA580" s="282">
        <f ca="1" t="shared" si="295"/>
        <v>0</v>
      </c>
      <c r="AB580" s="282">
        <f ca="1" t="shared" si="296"/>
        <v>18</v>
      </c>
      <c r="AC580" s="282">
        <f ca="1" t="shared" si="297"/>
        <v>9.65895</v>
      </c>
      <c r="AD580" s="282">
        <f ca="1" t="shared" si="298"/>
        <v>2.4147375</v>
      </c>
      <c r="AE580" s="282">
        <f ca="1" t="shared" si="299"/>
        <v>0.603684375</v>
      </c>
      <c r="AF580" s="19" t="str">
        <f t="shared" si="300"/>
        <v>彩4</v>
      </c>
      <c r="AG580" s="19">
        <f>IFERROR(_xlfn.XLOOKUP(C580+1,[2]基因升级!$E$141:$E$500,[2]基因升级!$D$141:$D$500)-1,AG579)</f>
        <v>113</v>
      </c>
      <c r="AH580" s="19">
        <v>8</v>
      </c>
      <c r="AI580" s="19">
        <f t="shared" si="301"/>
        <v>10.5142500606751</v>
      </c>
      <c r="AJ580" s="19">
        <f t="shared" si="313"/>
        <v>0</v>
      </c>
      <c r="AK580" s="269">
        <v>2.0368</v>
      </c>
      <c r="AL580" s="287">
        <f t="shared" si="281"/>
        <v>19.9199999999997</v>
      </c>
      <c r="AM580" s="287">
        <f t="shared" si="282"/>
        <v>16.3199999999998</v>
      </c>
      <c r="AN580" s="287">
        <f t="shared" si="284"/>
        <v>12.7199999999999</v>
      </c>
      <c r="AO580" s="287">
        <f t="shared" si="278"/>
        <v>9.11999999999998</v>
      </c>
      <c r="AP580" s="287">
        <f t="shared" si="283"/>
        <v>5.52</v>
      </c>
      <c r="AQ580" s="19">
        <f t="shared" si="302"/>
        <v>3.84879563621482</v>
      </c>
      <c r="AR580" s="19">
        <f t="shared" si="303"/>
        <v>3.01677730207629</v>
      </c>
      <c r="AS580" s="19">
        <f t="shared" si="304"/>
        <v>2.36462159868619</v>
      </c>
      <c r="AT580" s="19">
        <f t="shared" si="305"/>
        <v>1.85344649110324</v>
      </c>
      <c r="AU580" s="19">
        <f t="shared" si="306"/>
        <v>1.45277531816997</v>
      </c>
      <c r="AV580" s="232">
        <f t="shared" si="286"/>
        <v>0.0399999999999991</v>
      </c>
      <c r="AW580" s="232">
        <f t="shared" si="287"/>
        <v>0.0399999999999991</v>
      </c>
      <c r="AX580" s="232">
        <f t="shared" si="288"/>
        <v>0.0399999999999991</v>
      </c>
      <c r="AY580" s="232">
        <f t="shared" si="289"/>
        <v>0.0399999999999991</v>
      </c>
      <c r="AZ580" s="232">
        <f t="shared" si="290"/>
        <v>0.04</v>
      </c>
    </row>
    <row r="581" spans="1:52">
      <c r="A581" s="269"/>
      <c r="C581" s="19">
        <v>458</v>
      </c>
      <c r="D581" s="86">
        <f ca="1" t="shared" si="314"/>
        <v>271.590622230644</v>
      </c>
      <c r="E581" s="251">
        <f ca="1" t="shared" si="291"/>
        <v>0.338760205237237</v>
      </c>
      <c r="F581" s="269">
        <f ca="1" t="shared" si="307"/>
        <v>532.105422846727</v>
      </c>
      <c r="G581" s="283">
        <f ca="1" t="shared" si="308"/>
        <v>180.256142251404</v>
      </c>
      <c r="H581" s="279">
        <f ca="1" t="shared" si="309"/>
        <v>0.165406859378805</v>
      </c>
      <c r="I581" s="269">
        <f ca="1">SUM($J$125:J581)/SUM($H$125:H581)</f>
        <v>0.478349558954435</v>
      </c>
      <c r="J581" s="284">
        <f t="shared" si="315"/>
        <v>0.0538585827633966</v>
      </c>
      <c r="K581" s="19">
        <f t="shared" si="317"/>
        <v>46700</v>
      </c>
      <c r="L581" s="269">
        <f t="shared" si="310"/>
        <v>3.33499999999995</v>
      </c>
      <c r="M581" s="226">
        <f ca="1" t="shared" si="311"/>
        <v>561.791999999999</v>
      </c>
      <c r="N581" s="280">
        <f ca="1" t="shared" si="316"/>
        <v>0.111548276615423</v>
      </c>
      <c r="O581" s="226">
        <f t="shared" si="280"/>
        <v>211.2</v>
      </c>
      <c r="P581" s="19">
        <f ca="1" t="shared" si="285"/>
        <v>17.6</v>
      </c>
      <c r="Q581" s="226">
        <f ca="1" t="shared" si="279"/>
        <v>2.66</v>
      </c>
      <c r="R581" s="269">
        <f ca="1" t="shared" si="292"/>
        <v>0.924381319538659</v>
      </c>
      <c r="S581" s="266">
        <f ca="1" t="shared" si="293"/>
        <v>86.8408965049649</v>
      </c>
      <c r="T581" s="226">
        <f ca="1">(1+OFFSET('玩法产出(新)'!$C$18,MATCH(X581,'玩法产出(新)'!$B$19:$B$25,0),1)*(1-V581)+OFFSET('玩法产出(新)'!$C$18,1+MATCH(X581,'玩法产出(新)'!$B$19:$B$25,0),1)*(V581))^AA581*(1+OFFSET('玩法产出(新)'!$C$18,MATCH(X581,'玩法产出(新)'!$B$19:$B$25,0),3)*(1-V581)+OFFSET('玩法产出(新)'!$C$18,1+MATCH(X581,'玩法产出(新)'!$B$19:$B$25,0),3)*(V581))^AB581*(1+OFFSET('玩法产出(新)'!$C$18,MATCH(X581,'玩法产出(新)'!$B$19:$B$25,0),4)*(1-V581)+OFFSET('玩法产出(新)'!$C$18,1+MATCH(X581,'玩法产出(新)'!$B$19:$B$25,0),4)*(V581))^AC581*(1+OFFSET('玩法产出(新)'!$C$18,MATCH(X581,'玩法产出(新)'!$B$19:$B$25,0),5)*(1+V581)+OFFSET('玩法产出(新)'!$C$18,1+MATCH(X581,'玩法产出(新)'!$B$19:$B$25,5),1)*(V581))^AD581*(1+OFFSET('玩法产出(新)'!$C$18,MATCH(X581,'玩法产出(新)'!$B$19:$B$25,0),6)*(1+V581)+OFFSET('玩法产出(新)'!$C$18,1+MATCH(X581,'玩法产出(新)'!$B$19:$B$25,0),6)*(V581))^AE581</f>
        <v>356.2161429668</v>
      </c>
      <c r="U581" s="226">
        <f ca="1" t="shared" si="312"/>
        <v>0.173353345858418</v>
      </c>
      <c r="V581" s="226">
        <f ca="1">COUNTIF($X$124:$X581,X581)/(COUNTIF($X$124:$X$723,X581)+1)</f>
        <v>0.705154639175258</v>
      </c>
      <c r="W581" s="19">
        <v>30</v>
      </c>
      <c r="X581" s="19" t="s">
        <v>326</v>
      </c>
      <c r="Y581" s="19">
        <f t="shared" si="318"/>
        <v>46960</v>
      </c>
      <c r="Z581" s="19">
        <f ca="1" t="shared" si="294"/>
        <v>0</v>
      </c>
      <c r="AA581" s="282">
        <f ca="1" t="shared" si="295"/>
        <v>0</v>
      </c>
      <c r="AB581" s="282">
        <f ca="1" t="shared" si="296"/>
        <v>18</v>
      </c>
      <c r="AC581" s="282">
        <f ca="1" t="shared" si="297"/>
        <v>9.6798</v>
      </c>
      <c r="AD581" s="282">
        <f ca="1" t="shared" si="298"/>
        <v>2.41995</v>
      </c>
      <c r="AE581" s="282">
        <f ca="1" t="shared" si="299"/>
        <v>0.6049875</v>
      </c>
      <c r="AF581" s="19" t="str">
        <f t="shared" si="300"/>
        <v>彩4</v>
      </c>
      <c r="AG581" s="19">
        <f>IFERROR(_xlfn.XLOOKUP(C581+1,[2]基因升级!$E$141:$E$500,[2]基因升级!$D$141:$D$500)-1,AG580)</f>
        <v>113</v>
      </c>
      <c r="AH581" s="19">
        <v>8</v>
      </c>
      <c r="AI581" s="19">
        <f t="shared" si="301"/>
        <v>10.5142500606751</v>
      </c>
      <c r="AJ581" s="19">
        <f t="shared" si="313"/>
        <v>0</v>
      </c>
      <c r="AK581" s="269">
        <v>2.0368</v>
      </c>
      <c r="AL581" s="287">
        <f t="shared" si="281"/>
        <v>19.9599999999997</v>
      </c>
      <c r="AM581" s="287">
        <f t="shared" si="282"/>
        <v>16.3599999999998</v>
      </c>
      <c r="AN581" s="287">
        <f t="shared" si="284"/>
        <v>12.7599999999999</v>
      </c>
      <c r="AO581" s="287">
        <f t="shared" ref="AO581:AO644" si="319">AN491</f>
        <v>9.15999999999998</v>
      </c>
      <c r="AP581" s="287">
        <f t="shared" si="283"/>
        <v>5.56</v>
      </c>
      <c r="AQ581" s="19">
        <f t="shared" si="302"/>
        <v>3.85922591626156</v>
      </c>
      <c r="AR581" s="19">
        <f t="shared" si="303"/>
        <v>3.0249528029533</v>
      </c>
      <c r="AS581" s="19">
        <f t="shared" si="304"/>
        <v>2.37102975017305</v>
      </c>
      <c r="AT581" s="19">
        <f t="shared" si="305"/>
        <v>1.85846935222165</v>
      </c>
      <c r="AU581" s="19">
        <f t="shared" si="306"/>
        <v>1.45671235584247</v>
      </c>
      <c r="AV581" s="232">
        <f t="shared" si="286"/>
        <v>0.0399999999999991</v>
      </c>
      <c r="AW581" s="232">
        <f t="shared" si="287"/>
        <v>0.0399999999999991</v>
      </c>
      <c r="AX581" s="232">
        <f t="shared" si="288"/>
        <v>0.0399999999999991</v>
      </c>
      <c r="AY581" s="232">
        <f t="shared" si="289"/>
        <v>0.0399999999999991</v>
      </c>
      <c r="AZ581" s="232">
        <f t="shared" si="290"/>
        <v>0.04</v>
      </c>
    </row>
    <row r="582" spans="1:52">
      <c r="A582" s="269"/>
      <c r="C582" s="19">
        <v>459</v>
      </c>
      <c r="D582" s="86">
        <f ca="1" t="shared" si="314"/>
        <v>271.928595588968</v>
      </c>
      <c r="E582" s="251">
        <f ca="1" t="shared" si="291"/>
        <v>0.337973358323784</v>
      </c>
      <c r="F582" s="269">
        <f ca="1" t="shared" si="307"/>
        <v>533.830871868593</v>
      </c>
      <c r="G582" s="283">
        <f ca="1" t="shared" si="308"/>
        <v>180.420612542342</v>
      </c>
      <c r="H582" s="279">
        <f ca="1" t="shared" si="309"/>
        <v>0.164470290937544</v>
      </c>
      <c r="I582" s="269">
        <f ca="1">SUM($J$125:J582)/SUM($H$125:H582)</f>
        <v>0.478203351867283</v>
      </c>
      <c r="J582" s="284">
        <f t="shared" si="315"/>
        <v>0.0537575897806875</v>
      </c>
      <c r="K582" s="19">
        <f t="shared" si="317"/>
        <v>46800</v>
      </c>
      <c r="L582" s="269">
        <f t="shared" si="310"/>
        <v>3.33999999999995</v>
      </c>
      <c r="M582" s="226">
        <f ca="1" t="shared" si="311"/>
        <v>566.015999999999</v>
      </c>
      <c r="N582" s="280">
        <f ca="1" t="shared" si="316"/>
        <v>0.110712701156842</v>
      </c>
      <c r="O582" s="226">
        <f t="shared" si="280"/>
        <v>211.2</v>
      </c>
      <c r="P582" s="19">
        <f ca="1" t="shared" si="285"/>
        <v>17.8</v>
      </c>
      <c r="Q582" s="226">
        <f ca="1" t="shared" si="279"/>
        <v>2.68</v>
      </c>
      <c r="R582" s="269">
        <f ca="1" t="shared" si="292"/>
        <v>0.926228179725844</v>
      </c>
      <c r="S582" s="266">
        <f ca="1" t="shared" si="293"/>
        <v>87.0143995723511</v>
      </c>
      <c r="T582" s="226">
        <f ca="1">(1+OFFSET('玩法产出(新)'!$C$18,MATCH(X582,'玩法产出(新)'!$B$19:$B$25,0),1)*(1-V582)+OFFSET('玩法产出(新)'!$C$18,1+MATCH(X582,'玩法产出(新)'!$B$19:$B$25,0),1)*(V582))^AA582*(1+OFFSET('玩法产出(新)'!$C$18,MATCH(X582,'玩法产出(新)'!$B$19:$B$25,0),3)*(1-V582)+OFFSET('玩法产出(新)'!$C$18,1+MATCH(X582,'玩法产出(新)'!$B$19:$B$25,0),3)*(V582))^AB582*(1+OFFSET('玩法产出(新)'!$C$18,MATCH(X582,'玩法产出(新)'!$B$19:$B$25,0),4)*(1-V582)+OFFSET('玩法产出(新)'!$C$18,1+MATCH(X582,'玩法产出(新)'!$B$19:$B$25,0),4)*(V582))^AC582*(1+OFFSET('玩法产出(新)'!$C$18,MATCH(X582,'玩法产出(新)'!$B$19:$B$25,0),5)*(1+V582)+OFFSET('玩法产出(新)'!$C$18,1+MATCH(X582,'玩法产出(新)'!$B$19:$B$25,5),1)*(V582))^AD582*(1+OFFSET('玩法产出(新)'!$C$18,MATCH(X582,'玩法产出(新)'!$B$19:$B$25,0),6)*(1+V582)+OFFSET('玩法产出(新)'!$C$18,1+MATCH(X582,'玩法产出(新)'!$B$19:$B$25,0),6)*(V582))^AE582</f>
        <v>360.422398507802</v>
      </c>
      <c r="U582" s="226">
        <f ca="1" t="shared" si="312"/>
        <v>0.173503067386254</v>
      </c>
      <c r="V582" s="226">
        <f ca="1">COUNTIF($X$124:$X582,X582)/(COUNTIF($X$124:$X$723,X582)+1)</f>
        <v>0.707216494845361</v>
      </c>
      <c r="W582" s="19">
        <v>30</v>
      </c>
      <c r="X582" s="19" t="s">
        <v>326</v>
      </c>
      <c r="Y582" s="19">
        <f t="shared" si="318"/>
        <v>47060</v>
      </c>
      <c r="Z582" s="19">
        <f ca="1" t="shared" si="294"/>
        <v>0</v>
      </c>
      <c r="AA582" s="282">
        <f ca="1" t="shared" si="295"/>
        <v>0</v>
      </c>
      <c r="AB582" s="282">
        <f ca="1" t="shared" si="296"/>
        <v>18</v>
      </c>
      <c r="AC582" s="282">
        <f ca="1" t="shared" si="297"/>
        <v>9.70065</v>
      </c>
      <c r="AD582" s="282">
        <f ca="1" t="shared" si="298"/>
        <v>2.4251625</v>
      </c>
      <c r="AE582" s="282">
        <f ca="1" t="shared" si="299"/>
        <v>0.606290625</v>
      </c>
      <c r="AF582" s="19" t="str">
        <f t="shared" si="300"/>
        <v>彩4</v>
      </c>
      <c r="AG582" s="19">
        <f>IFERROR(_xlfn.XLOOKUP(C582+1,[2]基因升级!$E$141:$E$500,[2]基因升级!$D$141:$D$500)-1,AG581)</f>
        <v>113</v>
      </c>
      <c r="AH582" s="19">
        <v>8</v>
      </c>
      <c r="AI582" s="19">
        <f t="shared" si="301"/>
        <v>10.5142500606751</v>
      </c>
      <c r="AJ582" s="19">
        <f t="shared" si="313"/>
        <v>0</v>
      </c>
      <c r="AK582" s="269">
        <v>2.0368</v>
      </c>
      <c r="AL582" s="287">
        <f t="shared" si="281"/>
        <v>19.9999999999997</v>
      </c>
      <c r="AM582" s="287">
        <f t="shared" si="282"/>
        <v>16.3999999999998</v>
      </c>
      <c r="AN582" s="287">
        <f t="shared" si="284"/>
        <v>12.7999999999999</v>
      </c>
      <c r="AO582" s="287">
        <f t="shared" si="319"/>
        <v>9.19999999999997</v>
      </c>
      <c r="AP582" s="287">
        <f t="shared" si="283"/>
        <v>5.6</v>
      </c>
      <c r="AQ582" s="19">
        <f t="shared" si="302"/>
        <v>3.86968446248612</v>
      </c>
      <c r="AR582" s="19">
        <f t="shared" si="303"/>
        <v>3.03315045953087</v>
      </c>
      <c r="AS582" s="19">
        <f t="shared" si="304"/>
        <v>2.3774552678235</v>
      </c>
      <c r="AT582" s="19">
        <f t="shared" si="305"/>
        <v>1.86350582535095</v>
      </c>
      <c r="AU582" s="19">
        <f t="shared" si="306"/>
        <v>1.46066006293193</v>
      </c>
      <c r="AV582" s="232">
        <f t="shared" si="286"/>
        <v>0.0399999999999991</v>
      </c>
      <c r="AW582" s="232">
        <f t="shared" si="287"/>
        <v>0.0399999999999991</v>
      </c>
      <c r="AX582" s="232">
        <f t="shared" si="288"/>
        <v>0.0399999999999991</v>
      </c>
      <c r="AY582" s="232">
        <f t="shared" si="289"/>
        <v>0.0399999999999991</v>
      </c>
      <c r="AZ582" s="232">
        <f t="shared" si="290"/>
        <v>0.04</v>
      </c>
    </row>
    <row r="583" spans="1:52">
      <c r="A583" s="269"/>
      <c r="C583" s="19">
        <v>460</v>
      </c>
      <c r="D583" s="86">
        <f ca="1" t="shared" si="314"/>
        <v>272.26579484369</v>
      </c>
      <c r="E583" s="251">
        <f ca="1" t="shared" si="291"/>
        <v>0.337199254721583</v>
      </c>
      <c r="F583" s="269">
        <f ca="1" t="shared" si="307"/>
        <v>535.541394442678</v>
      </c>
      <c r="G583" s="283">
        <f ca="1" t="shared" si="308"/>
        <v>180.584159078629</v>
      </c>
      <c r="H583" s="279">
        <f ca="1" t="shared" si="309"/>
        <v>0.163546536286731</v>
      </c>
      <c r="I583" s="269">
        <f ca="1">SUM($J$125:J583)/SUM($H$125:H583)</f>
        <v>0.478059425746185</v>
      </c>
      <c r="J583" s="284">
        <f t="shared" si="315"/>
        <v>0.0536569855015756</v>
      </c>
      <c r="K583" s="19">
        <f t="shared" si="317"/>
        <v>46900</v>
      </c>
      <c r="L583" s="269">
        <f t="shared" si="310"/>
        <v>3.34499999999995</v>
      </c>
      <c r="M583" s="226">
        <f ca="1" t="shared" si="311"/>
        <v>570.239999999999</v>
      </c>
      <c r="N583" s="280">
        <f ca="1" t="shared" si="316"/>
        <v>0.109889550785155</v>
      </c>
      <c r="O583" s="226">
        <f t="shared" si="280"/>
        <v>211.2</v>
      </c>
      <c r="P583" s="19">
        <f ca="1" t="shared" si="285"/>
        <v>18</v>
      </c>
      <c r="Q583" s="226">
        <f ca="1" t="shared" si="279"/>
        <v>2.7</v>
      </c>
      <c r="R583" s="269">
        <f ca="1" t="shared" si="292"/>
        <v>0.92807663287947</v>
      </c>
      <c r="S583" s="266">
        <f ca="1" t="shared" si="293"/>
        <v>87.188052290786</v>
      </c>
      <c r="T583" s="226">
        <f ca="1">(1+OFFSET('玩法产出(新)'!$C$18,MATCH(X583,'玩法产出(新)'!$B$19:$B$25,0),1)*(1-V583)+OFFSET('玩法产出(新)'!$C$18,1+MATCH(X583,'玩法产出(新)'!$B$19:$B$25,0),1)*(V583))^AA583*(1+OFFSET('玩法产出(新)'!$C$18,MATCH(X583,'玩法产出(新)'!$B$19:$B$25,0),3)*(1-V583)+OFFSET('玩法产出(新)'!$C$18,1+MATCH(X583,'玩法产出(新)'!$B$19:$B$25,0),3)*(V583))^AB583*(1+OFFSET('玩法产出(新)'!$C$18,MATCH(X583,'玩法产出(新)'!$B$19:$B$25,0),4)*(1-V583)+OFFSET('玩法产出(新)'!$C$18,1+MATCH(X583,'玩法产出(新)'!$B$19:$B$25,0),4)*(V583))^AC583*(1+OFFSET('玩法产出(新)'!$C$18,MATCH(X583,'玩法产出(新)'!$B$19:$B$25,0),5)*(1+V583)+OFFSET('玩法产出(新)'!$C$18,1+MATCH(X583,'玩法产出(新)'!$B$19:$B$25,5),1)*(V583))^AD583*(1+OFFSET('玩法产出(新)'!$C$18,MATCH(X583,'玩法产出(新)'!$B$19:$B$25,0),6)*(1+V583)+OFFSET('玩法产出(新)'!$C$18,1+MATCH(X583,'玩法产出(新)'!$B$19:$B$25,0),6)*(V583))^AE583</f>
        <v>364.682014622669</v>
      </c>
      <c r="U583" s="226">
        <f ca="1" t="shared" si="312"/>
        <v>0.173652718434853</v>
      </c>
      <c r="V583" s="226">
        <f ca="1">COUNTIF($X$124:$X583,X583)/(COUNTIF($X$124:$X$723,X583)+1)</f>
        <v>0.709278350515464</v>
      </c>
      <c r="W583" s="19">
        <v>30</v>
      </c>
      <c r="X583" s="19" t="s">
        <v>326</v>
      </c>
      <c r="Y583" s="19">
        <f t="shared" si="318"/>
        <v>47160</v>
      </c>
      <c r="Z583" s="19">
        <f ca="1" t="shared" si="294"/>
        <v>0</v>
      </c>
      <c r="AA583" s="282">
        <f ca="1" t="shared" si="295"/>
        <v>0</v>
      </c>
      <c r="AB583" s="282">
        <f ca="1" t="shared" si="296"/>
        <v>18</v>
      </c>
      <c r="AC583" s="282">
        <f ca="1" t="shared" si="297"/>
        <v>9.7215</v>
      </c>
      <c r="AD583" s="282">
        <f ca="1" t="shared" si="298"/>
        <v>2.430375</v>
      </c>
      <c r="AE583" s="282">
        <f ca="1" t="shared" si="299"/>
        <v>0.60759375</v>
      </c>
      <c r="AF583" s="19" t="str">
        <f t="shared" si="300"/>
        <v>彩4</v>
      </c>
      <c r="AG583" s="19">
        <f>IFERROR(_xlfn.XLOOKUP(C583+1,[2]基因升级!$E$141:$E$500,[2]基因升级!$D$141:$D$500)-1,AG582)</f>
        <v>113</v>
      </c>
      <c r="AH583" s="19">
        <v>8</v>
      </c>
      <c r="AI583" s="19">
        <f t="shared" si="301"/>
        <v>10.5142500606751</v>
      </c>
      <c r="AJ583" s="19">
        <f t="shared" si="313"/>
        <v>0</v>
      </c>
      <c r="AK583" s="269">
        <v>2.0368</v>
      </c>
      <c r="AL583" s="287">
        <f t="shared" si="281"/>
        <v>20.0399999999997</v>
      </c>
      <c r="AM583" s="287">
        <f t="shared" si="282"/>
        <v>16.4399999999998</v>
      </c>
      <c r="AN583" s="287">
        <f t="shared" si="284"/>
        <v>12.8399999999999</v>
      </c>
      <c r="AO583" s="287">
        <f t="shared" si="319"/>
        <v>9.23999999999997</v>
      </c>
      <c r="AP583" s="287">
        <f t="shared" si="283"/>
        <v>5.64</v>
      </c>
      <c r="AQ583" s="19">
        <f t="shared" si="302"/>
        <v>3.88017135149016</v>
      </c>
      <c r="AR583" s="19">
        <f t="shared" si="303"/>
        <v>3.04137033185122</v>
      </c>
      <c r="AS583" s="19">
        <f t="shared" si="304"/>
        <v>2.38389819870002</v>
      </c>
      <c r="AT583" s="19">
        <f t="shared" si="305"/>
        <v>1.86855594737984</v>
      </c>
      <c r="AU583" s="19">
        <f t="shared" si="306"/>
        <v>1.4646184683526</v>
      </c>
      <c r="AV583" s="232">
        <f t="shared" si="286"/>
        <v>0.0399999999999991</v>
      </c>
      <c r="AW583" s="232">
        <f t="shared" si="287"/>
        <v>0.0399999999999991</v>
      </c>
      <c r="AX583" s="232">
        <f t="shared" si="288"/>
        <v>0.0399999999999991</v>
      </c>
      <c r="AY583" s="232">
        <f t="shared" si="289"/>
        <v>0.0399999999999991</v>
      </c>
      <c r="AZ583" s="232">
        <f t="shared" si="290"/>
        <v>0.04</v>
      </c>
    </row>
    <row r="584" spans="1:52">
      <c r="A584" s="269"/>
      <c r="C584" s="19">
        <v>461</v>
      </c>
      <c r="D584" s="86">
        <f ca="1" t="shared" si="314"/>
        <v>272.602232460808</v>
      </c>
      <c r="E584" s="251">
        <f ca="1" t="shared" si="291"/>
        <v>0.336437617118598</v>
      </c>
      <c r="F584" s="269">
        <f ca="1" t="shared" si="307"/>
        <v>537.237173252676</v>
      </c>
      <c r="G584" s="283">
        <f ca="1" t="shared" si="308"/>
        <v>180.746794396662</v>
      </c>
      <c r="H584" s="279">
        <f ca="1" t="shared" si="309"/>
        <v>0.162635318033125</v>
      </c>
      <c r="I584" s="269">
        <f ca="1">SUM($J$125:J584)/SUM($H$125:H584)</f>
        <v>0.477917738874707</v>
      </c>
      <c r="J584" s="284">
        <f t="shared" si="315"/>
        <v>0.053556767632017</v>
      </c>
      <c r="K584" s="19">
        <f t="shared" si="317"/>
        <v>47000</v>
      </c>
      <c r="L584" s="269">
        <f t="shared" si="310"/>
        <v>3.34999999999995</v>
      </c>
      <c r="M584" s="226">
        <f ca="1" t="shared" si="311"/>
        <v>574.463999999999</v>
      </c>
      <c r="N584" s="280">
        <f ca="1" t="shared" si="316"/>
        <v>0.109078550401108</v>
      </c>
      <c r="O584" s="226">
        <f t="shared" si="280"/>
        <v>211.2</v>
      </c>
      <c r="P584" s="19">
        <f ca="1" t="shared" si="285"/>
        <v>18.2</v>
      </c>
      <c r="Q584" s="226">
        <f ca="1" t="shared" si="279"/>
        <v>2.72</v>
      </c>
      <c r="R584" s="269">
        <f ca="1" t="shared" si="292"/>
        <v>0.929926678250181</v>
      </c>
      <c r="S584" s="266">
        <f ca="1" t="shared" si="293"/>
        <v>87.3618545898714</v>
      </c>
      <c r="T584" s="226">
        <f ca="1">(1+OFFSET('玩法产出(新)'!$C$18,MATCH(X584,'玩法产出(新)'!$B$19:$B$25,0),1)*(1-V584)+OFFSET('玩法产出(新)'!$C$18,1+MATCH(X584,'玩法产出(新)'!$B$19:$B$25,0),1)*(V584))^AA584*(1+OFFSET('玩法产出(新)'!$C$18,MATCH(X584,'玩法产出(新)'!$B$19:$B$25,0),3)*(1-V584)+OFFSET('玩法产出(新)'!$C$18,1+MATCH(X584,'玩法产出(新)'!$B$19:$B$25,0),3)*(V584))^AB584*(1+OFFSET('玩法产出(新)'!$C$18,MATCH(X584,'玩法产出(新)'!$B$19:$B$25,0),4)*(1-V584)+OFFSET('玩法产出(新)'!$C$18,1+MATCH(X584,'玩法产出(新)'!$B$19:$B$25,0),4)*(V584))^AC584*(1+OFFSET('玩法产出(新)'!$C$18,MATCH(X584,'玩法产出(新)'!$B$19:$B$25,0),5)*(1+V584)+OFFSET('玩法产出(新)'!$C$18,1+MATCH(X584,'玩法产出(新)'!$B$19:$B$25,5),1)*(V584))^AD584*(1+OFFSET('玩法产出(新)'!$C$18,MATCH(X584,'玩法产出(新)'!$B$19:$B$25,0),6)*(1+V584)+OFFSET('玩法产出(新)'!$C$18,1+MATCH(X584,'玩法产出(新)'!$B$19:$B$25,0),6)*(V584))^AE584</f>
        <v>368.99570695946</v>
      </c>
      <c r="U584" s="226">
        <f ca="1" t="shared" si="312"/>
        <v>0.173802299085473</v>
      </c>
      <c r="V584" s="226">
        <f ca="1">COUNTIF($X$124:$X584,X584)/(COUNTIF($X$124:$X$723,X584)+1)</f>
        <v>0.711340206185567</v>
      </c>
      <c r="W584" s="19">
        <v>30</v>
      </c>
      <c r="X584" s="19" t="s">
        <v>326</v>
      </c>
      <c r="Y584" s="19">
        <f t="shared" si="318"/>
        <v>47260</v>
      </c>
      <c r="Z584" s="19">
        <f ca="1" t="shared" si="294"/>
        <v>0</v>
      </c>
      <c r="AA584" s="282">
        <f ca="1" t="shared" si="295"/>
        <v>0</v>
      </c>
      <c r="AB584" s="282">
        <f ca="1" t="shared" si="296"/>
        <v>18</v>
      </c>
      <c r="AC584" s="282">
        <f ca="1" t="shared" si="297"/>
        <v>9.74235</v>
      </c>
      <c r="AD584" s="282">
        <f ca="1" t="shared" si="298"/>
        <v>2.4355875</v>
      </c>
      <c r="AE584" s="282">
        <f ca="1" t="shared" si="299"/>
        <v>0.608896875</v>
      </c>
      <c r="AF584" s="19" t="str">
        <f t="shared" si="300"/>
        <v>彩4</v>
      </c>
      <c r="AG584" s="19">
        <f>IFERROR(_xlfn.XLOOKUP(C584+1,[2]基因升级!$E$141:$E$500,[2]基因升级!$D$141:$D$500)-1,AG583)</f>
        <v>113</v>
      </c>
      <c r="AH584" s="19">
        <v>8</v>
      </c>
      <c r="AI584" s="19">
        <f t="shared" si="301"/>
        <v>10.5142500606751</v>
      </c>
      <c r="AJ584" s="19">
        <f t="shared" si="313"/>
        <v>0</v>
      </c>
      <c r="AK584" s="269">
        <v>2.0368</v>
      </c>
      <c r="AL584" s="287">
        <f t="shared" si="281"/>
        <v>20.0799999999997</v>
      </c>
      <c r="AM584" s="287">
        <f t="shared" si="282"/>
        <v>16.4799999999998</v>
      </c>
      <c r="AN584" s="287">
        <f t="shared" si="284"/>
        <v>12.8799999999999</v>
      </c>
      <c r="AO584" s="287">
        <f t="shared" si="319"/>
        <v>9.27999999999997</v>
      </c>
      <c r="AP584" s="287">
        <f t="shared" si="283"/>
        <v>5.68</v>
      </c>
      <c r="AQ584" s="19">
        <f t="shared" si="302"/>
        <v>3.89068666008295</v>
      </c>
      <c r="AR584" s="19">
        <f t="shared" si="303"/>
        <v>3.04961248011926</v>
      </c>
      <c r="AS584" s="19">
        <f t="shared" si="304"/>
        <v>2.39035858999266</v>
      </c>
      <c r="AT584" s="19">
        <f t="shared" si="305"/>
        <v>1.87361975529699</v>
      </c>
      <c r="AU584" s="19">
        <f t="shared" si="306"/>
        <v>1.46858760109709</v>
      </c>
      <c r="AV584" s="232">
        <f t="shared" si="286"/>
        <v>0.0399999999999991</v>
      </c>
      <c r="AW584" s="232">
        <f t="shared" si="287"/>
        <v>0.0399999999999991</v>
      </c>
      <c r="AX584" s="232">
        <f t="shared" si="288"/>
        <v>0.0399999999999991</v>
      </c>
      <c r="AY584" s="232">
        <f t="shared" si="289"/>
        <v>0.0399999999999991</v>
      </c>
      <c r="AZ584" s="232">
        <f t="shared" si="290"/>
        <v>0.04</v>
      </c>
    </row>
    <row r="585" spans="1:52">
      <c r="A585" s="269"/>
      <c r="C585" s="19">
        <v>462</v>
      </c>
      <c r="D585" s="86">
        <f ca="1" t="shared" si="314"/>
        <v>272.937920637091</v>
      </c>
      <c r="E585" s="251">
        <f ca="1" t="shared" si="291"/>
        <v>0.335688176283095</v>
      </c>
      <c r="F585" s="269">
        <f ca="1" t="shared" si="307"/>
        <v>538.918387792605</v>
      </c>
      <c r="G585" s="283">
        <f ca="1" t="shared" si="308"/>
        <v>180.908530763525</v>
      </c>
      <c r="H585" s="279">
        <f ca="1" t="shared" si="309"/>
        <v>0.161736366863579</v>
      </c>
      <c r="I585" s="269">
        <f ca="1">SUM($J$125:J585)/SUM($H$125:H585)</f>
        <v>0.477778250548745</v>
      </c>
      <c r="J585" s="284">
        <f t="shared" si="315"/>
        <v>0.0534569338963848</v>
      </c>
      <c r="K585" s="19">
        <f t="shared" si="317"/>
        <v>47100</v>
      </c>
      <c r="L585" s="269">
        <f t="shared" si="310"/>
        <v>3.35499999999995</v>
      </c>
      <c r="M585" s="226">
        <f ca="1" t="shared" si="311"/>
        <v>578.687999999999</v>
      </c>
      <c r="N585" s="280">
        <f ca="1" t="shared" si="316"/>
        <v>0.108279432967223</v>
      </c>
      <c r="O585" s="226">
        <f t="shared" si="280"/>
        <v>211.2</v>
      </c>
      <c r="P585" s="19">
        <f ca="1" t="shared" si="285"/>
        <v>18.4</v>
      </c>
      <c r="Q585" s="226">
        <f ca="1" t="shared" ref="Q585:Q648" si="320">_xlfn.XLOOKUP(O585,$D$76:$D$95,$E$76:$E$95)*(P585-1)+1</f>
        <v>2.74</v>
      </c>
      <c r="R585" s="269">
        <f ca="1" t="shared" si="292"/>
        <v>0.931778315089492</v>
      </c>
      <c r="S585" s="266">
        <f ca="1" t="shared" si="293"/>
        <v>87.5358063992909</v>
      </c>
      <c r="T585" s="226">
        <f ca="1">(1+OFFSET('玩法产出(新)'!$C$18,MATCH(X585,'玩法产出(新)'!$B$19:$B$25,0),1)*(1-V585)+OFFSET('玩法产出(新)'!$C$18,1+MATCH(X585,'玩法产出(新)'!$B$19:$B$25,0),1)*(V585))^AA585*(1+OFFSET('玩法产出(新)'!$C$18,MATCH(X585,'玩法产出(新)'!$B$19:$B$25,0),3)*(1-V585)+OFFSET('玩法产出(新)'!$C$18,1+MATCH(X585,'玩法产出(新)'!$B$19:$B$25,0),3)*(V585))^AB585*(1+OFFSET('玩法产出(新)'!$C$18,MATCH(X585,'玩法产出(新)'!$B$19:$B$25,0),4)*(1-V585)+OFFSET('玩法产出(新)'!$C$18,1+MATCH(X585,'玩法产出(新)'!$B$19:$B$25,0),4)*(V585))^AC585*(1+OFFSET('玩法产出(新)'!$C$18,MATCH(X585,'玩法产出(新)'!$B$19:$B$25,0),5)*(1+V585)+OFFSET('玩法产出(新)'!$C$18,1+MATCH(X585,'玩法产出(新)'!$B$19:$B$25,5),1)*(V585))^AD585*(1+OFFSET('玩法产出(新)'!$C$18,MATCH(X585,'玩法产出(新)'!$B$19:$B$25,0),6)*(1+V585)+OFFSET('玩法产出(新)'!$C$18,1+MATCH(X585,'玩法产出(新)'!$B$19:$B$25,0),6)*(V585))^AE585</f>
        <v>373.364201219693</v>
      </c>
      <c r="U585" s="226">
        <f ca="1" t="shared" si="312"/>
        <v>0.173951809419488</v>
      </c>
      <c r="V585" s="226">
        <f ca="1">COUNTIF($X$124:$X585,X585)/(COUNTIF($X$124:$X$723,X585)+1)</f>
        <v>0.71340206185567</v>
      </c>
      <c r="W585" s="19">
        <v>30</v>
      </c>
      <c r="X585" s="19" t="s">
        <v>326</v>
      </c>
      <c r="Y585" s="19">
        <f t="shared" si="318"/>
        <v>47360</v>
      </c>
      <c r="Z585" s="19">
        <f ca="1" t="shared" si="294"/>
        <v>0</v>
      </c>
      <c r="AA585" s="282">
        <f ca="1" t="shared" si="295"/>
        <v>0</v>
      </c>
      <c r="AB585" s="282">
        <f ca="1" t="shared" si="296"/>
        <v>18</v>
      </c>
      <c r="AC585" s="282">
        <f ca="1" t="shared" si="297"/>
        <v>9.7632</v>
      </c>
      <c r="AD585" s="282">
        <f ca="1" t="shared" si="298"/>
        <v>2.4408</v>
      </c>
      <c r="AE585" s="282">
        <f ca="1" t="shared" si="299"/>
        <v>0.6102</v>
      </c>
      <c r="AF585" s="19" t="str">
        <f t="shared" si="300"/>
        <v>彩4</v>
      </c>
      <c r="AG585" s="19">
        <f>IFERROR(_xlfn.XLOOKUP(C585+1,[2]基因升级!$E$141:$E$500,[2]基因升级!$D$141:$D$500)-1,AG584)</f>
        <v>113</v>
      </c>
      <c r="AH585" s="19">
        <v>8</v>
      </c>
      <c r="AI585" s="19">
        <f t="shared" si="301"/>
        <v>10.5142500606751</v>
      </c>
      <c r="AJ585" s="19">
        <f t="shared" si="313"/>
        <v>0</v>
      </c>
      <c r="AK585" s="269">
        <v>2.0368</v>
      </c>
      <c r="AL585" s="287">
        <f t="shared" si="281"/>
        <v>20.1199999999997</v>
      </c>
      <c r="AM585" s="287">
        <f t="shared" si="282"/>
        <v>16.5199999999998</v>
      </c>
      <c r="AN585" s="287">
        <f t="shared" si="284"/>
        <v>12.9199999999999</v>
      </c>
      <c r="AO585" s="287">
        <f t="shared" si="319"/>
        <v>9.31999999999997</v>
      </c>
      <c r="AP585" s="287">
        <f t="shared" si="283"/>
        <v>5.72</v>
      </c>
      <c r="AQ585" s="19">
        <f t="shared" si="302"/>
        <v>3.90123046528188</v>
      </c>
      <c r="AR585" s="19">
        <f t="shared" si="303"/>
        <v>3.05787696470305</v>
      </c>
      <c r="AS585" s="19">
        <f t="shared" si="304"/>
        <v>2.39683648901934</v>
      </c>
      <c r="AT585" s="19">
        <f t="shared" si="305"/>
        <v>1.87869728619132</v>
      </c>
      <c r="AU585" s="19">
        <f t="shared" si="306"/>
        <v>1.47256749023656</v>
      </c>
      <c r="AV585" s="232">
        <f t="shared" si="286"/>
        <v>0.0399999999999991</v>
      </c>
      <c r="AW585" s="232">
        <f t="shared" si="287"/>
        <v>0.0399999999999991</v>
      </c>
      <c r="AX585" s="232">
        <f t="shared" si="288"/>
        <v>0.0399999999999991</v>
      </c>
      <c r="AY585" s="232">
        <f t="shared" si="289"/>
        <v>0.0399999999999991</v>
      </c>
      <c r="AZ585" s="232">
        <f t="shared" si="290"/>
        <v>0.04</v>
      </c>
    </row>
    <row r="586" spans="1:52">
      <c r="A586" s="269"/>
      <c r="C586" s="19">
        <v>463</v>
      </c>
      <c r="D586" s="86">
        <f ca="1" t="shared" si="314"/>
        <v>273.272871307861</v>
      </c>
      <c r="E586" s="251">
        <f ca="1" t="shared" si="291"/>
        <v>0.334950670769451</v>
      </c>
      <c r="F586" s="269">
        <f ca="1" t="shared" si="307"/>
        <v>540.585214440153</v>
      </c>
      <c r="G586" s="283">
        <f ca="1" t="shared" si="308"/>
        <v>181.069380184777</v>
      </c>
      <c r="H586" s="279">
        <f ca="1" t="shared" si="309"/>
        <v>0.160849421251697</v>
      </c>
      <c r="I586" s="269">
        <f ca="1">SUM($J$125:J586)/SUM($H$125:H586)</f>
        <v>0.477640921045214</v>
      </c>
      <c r="J586" s="284">
        <f t="shared" si="315"/>
        <v>0.053357482037228</v>
      </c>
      <c r="K586" s="19">
        <f t="shared" si="317"/>
        <v>47200</v>
      </c>
      <c r="L586" s="269">
        <f t="shared" si="310"/>
        <v>3.35999999999995</v>
      </c>
      <c r="M586" s="226">
        <f ca="1" t="shared" si="311"/>
        <v>582.911999999999</v>
      </c>
      <c r="N586" s="280">
        <f ca="1" t="shared" si="316"/>
        <v>0.107491939214455</v>
      </c>
      <c r="O586" s="226">
        <f t="shared" ref="O586:O649" si="321">IF(MOD(C586,60)=0,_xlfn.XLOOKUP(_xlfn.XLOOKUP(O585,$D$76:$D$95,$C$76:$C$95)+1,$C$76:$C$95,$D$76:$D$95),O585)</f>
        <v>211.2</v>
      </c>
      <c r="P586" s="19">
        <f ca="1" t="shared" si="285"/>
        <v>18.6</v>
      </c>
      <c r="Q586" s="226">
        <f ca="1" t="shared" si="320"/>
        <v>2.76</v>
      </c>
      <c r="R586" s="269">
        <f ca="1" t="shared" si="292"/>
        <v>0.933631542649773</v>
      </c>
      <c r="S586" s="266">
        <f ca="1" t="shared" si="293"/>
        <v>87.7099076488087</v>
      </c>
      <c r="T586" s="226">
        <f ca="1">(1+OFFSET('玩法产出(新)'!$C$18,MATCH(X586,'玩法产出(新)'!$B$19:$B$25,0),1)*(1-V586)+OFFSET('玩法产出(新)'!$C$18,1+MATCH(X586,'玩法产出(新)'!$B$19:$B$25,0),1)*(V586))^AA586*(1+OFFSET('玩法产出(新)'!$C$18,MATCH(X586,'玩法产出(新)'!$B$19:$B$25,0),3)*(1-V586)+OFFSET('玩法产出(新)'!$C$18,1+MATCH(X586,'玩法产出(新)'!$B$19:$B$25,0),3)*(V586))^AB586*(1+OFFSET('玩法产出(新)'!$C$18,MATCH(X586,'玩法产出(新)'!$B$19:$B$25,0),4)*(1-V586)+OFFSET('玩法产出(新)'!$C$18,1+MATCH(X586,'玩法产出(新)'!$B$19:$B$25,0),4)*(V586))^AC586*(1+OFFSET('玩法产出(新)'!$C$18,MATCH(X586,'玩法产出(新)'!$B$19:$B$25,0),5)*(1+V586)+OFFSET('玩法产出(新)'!$C$18,1+MATCH(X586,'玩法产出(新)'!$B$19:$B$25,5),1)*(V586))^AD586*(1+OFFSET('玩法产出(新)'!$C$18,MATCH(X586,'玩法产出(新)'!$B$19:$B$25,0),6)*(1+V586)+OFFSET('玩法产出(新)'!$C$18,1+MATCH(X586,'玩法产出(新)'!$B$19:$B$25,0),6)*(V586))^AE586</f>
        <v>377.788233305331</v>
      </c>
      <c r="U586" s="226">
        <f ca="1" t="shared" si="312"/>
        <v>0.174101249517768</v>
      </c>
      <c r="V586" s="226">
        <f ca="1">COUNTIF($X$124:$X586,X586)/(COUNTIF($X$124:$X$723,X586)+1)</f>
        <v>0.715463917525773</v>
      </c>
      <c r="W586" s="19">
        <v>30</v>
      </c>
      <c r="X586" s="19" t="s">
        <v>326</v>
      </c>
      <c r="Y586" s="19">
        <f t="shared" si="318"/>
        <v>47460</v>
      </c>
      <c r="Z586" s="19">
        <f ca="1" t="shared" si="294"/>
        <v>0</v>
      </c>
      <c r="AA586" s="282">
        <f ca="1" t="shared" si="295"/>
        <v>0</v>
      </c>
      <c r="AB586" s="282">
        <f ca="1" t="shared" si="296"/>
        <v>18</v>
      </c>
      <c r="AC586" s="282">
        <f ca="1" t="shared" si="297"/>
        <v>9.78405</v>
      </c>
      <c r="AD586" s="282">
        <f ca="1" t="shared" si="298"/>
        <v>2.4460125</v>
      </c>
      <c r="AE586" s="282">
        <f ca="1" t="shared" si="299"/>
        <v>0.611503125</v>
      </c>
      <c r="AF586" s="19" t="str">
        <f t="shared" si="300"/>
        <v>彩4</v>
      </c>
      <c r="AG586" s="19">
        <f>IFERROR(_xlfn.XLOOKUP(C586+1,[2]基因升级!$E$141:$E$500,[2]基因升级!$D$141:$D$500)-1,AG585)</f>
        <v>113</v>
      </c>
      <c r="AH586" s="19">
        <v>8</v>
      </c>
      <c r="AI586" s="19">
        <f t="shared" si="301"/>
        <v>10.5142500606751</v>
      </c>
      <c r="AJ586" s="19">
        <f t="shared" si="313"/>
        <v>0</v>
      </c>
      <c r="AK586" s="269">
        <v>2.0368</v>
      </c>
      <c r="AL586" s="287">
        <f t="shared" si="281"/>
        <v>20.1599999999997</v>
      </c>
      <c r="AM586" s="287">
        <f t="shared" si="282"/>
        <v>16.5599999999998</v>
      </c>
      <c r="AN586" s="287">
        <f t="shared" si="284"/>
        <v>12.9599999999999</v>
      </c>
      <c r="AO586" s="287">
        <f t="shared" si="319"/>
        <v>9.35999999999997</v>
      </c>
      <c r="AP586" s="287">
        <f t="shared" si="283"/>
        <v>5.76</v>
      </c>
      <c r="AQ586" s="19">
        <f t="shared" si="302"/>
        <v>3.9118028443131</v>
      </c>
      <c r="AR586" s="19">
        <f t="shared" si="303"/>
        <v>3.06616384613427</v>
      </c>
      <c r="AS586" s="19">
        <f t="shared" si="304"/>
        <v>2.40333194322623</v>
      </c>
      <c r="AT586" s="19">
        <f t="shared" si="305"/>
        <v>1.88378857725226</v>
      </c>
      <c r="AU586" s="19">
        <f t="shared" si="306"/>
        <v>1.47655816492097</v>
      </c>
      <c r="AV586" s="232">
        <f t="shared" si="286"/>
        <v>0.0399999999999991</v>
      </c>
      <c r="AW586" s="232">
        <f t="shared" si="287"/>
        <v>0.0399999999999991</v>
      </c>
      <c r="AX586" s="232">
        <f t="shared" si="288"/>
        <v>0.0399999999999991</v>
      </c>
      <c r="AY586" s="232">
        <f t="shared" si="289"/>
        <v>0.0399999999999991</v>
      </c>
      <c r="AZ586" s="232">
        <f t="shared" si="290"/>
        <v>0.04</v>
      </c>
    </row>
    <row r="587" spans="1:52">
      <c r="A587" s="269"/>
      <c r="C587" s="19">
        <v>464</v>
      </c>
      <c r="D587" s="86">
        <f ca="1" t="shared" si="314"/>
        <v>273.607096154499</v>
      </c>
      <c r="E587" s="251">
        <f ca="1" t="shared" si="291"/>
        <v>0.334224846638544</v>
      </c>
      <c r="F587" s="269">
        <f ca="1" t="shared" si="307"/>
        <v>542.237826525055</v>
      </c>
      <c r="G587" s="283">
        <f ca="1" t="shared" si="308"/>
        <v>181.229354411954</v>
      </c>
      <c r="H587" s="279">
        <f ca="1" t="shared" si="309"/>
        <v>0.159974227177088</v>
      </c>
      <c r="I587" s="269">
        <f ca="1">SUM($J$125:J587)/SUM($H$125:H587)</f>
        <v>0.477505711591924</v>
      </c>
      <c r="J587" s="284">
        <f t="shared" si="315"/>
        <v>0.053258409815129</v>
      </c>
      <c r="K587" s="19">
        <f t="shared" si="317"/>
        <v>47300</v>
      </c>
      <c r="L587" s="269">
        <f t="shared" si="310"/>
        <v>3.36499999999995</v>
      </c>
      <c r="M587" s="226">
        <f ca="1" t="shared" si="311"/>
        <v>587.135999999999</v>
      </c>
      <c r="N587" s="280">
        <f ca="1" t="shared" si="316"/>
        <v>0.106715817361945</v>
      </c>
      <c r="O587" s="226">
        <f t="shared" si="321"/>
        <v>211.2</v>
      </c>
      <c r="P587" s="19">
        <f ca="1" t="shared" si="285"/>
        <v>18.8</v>
      </c>
      <c r="Q587" s="226">
        <f ca="1" t="shared" si="320"/>
        <v>2.78</v>
      </c>
      <c r="R587" s="269">
        <f ca="1" t="shared" si="292"/>
        <v>0.935486360184263</v>
      </c>
      <c r="S587" s="266">
        <f ca="1" t="shared" si="293"/>
        <v>87.8841582682702</v>
      </c>
      <c r="T587" s="226">
        <f ca="1">(1+OFFSET('玩法产出(新)'!$C$18,MATCH(X587,'玩法产出(新)'!$B$19:$B$25,0),1)*(1-V587)+OFFSET('玩法产出(新)'!$C$18,1+MATCH(X587,'玩法产出(新)'!$B$19:$B$25,0),1)*(V587))^AA587*(1+OFFSET('玩法产出(新)'!$C$18,MATCH(X587,'玩法产出(新)'!$B$19:$B$25,0),3)*(1-V587)+OFFSET('玩法产出(新)'!$C$18,1+MATCH(X587,'玩法产出(新)'!$B$19:$B$25,0),3)*(V587))^AB587*(1+OFFSET('玩法产出(新)'!$C$18,MATCH(X587,'玩法产出(新)'!$B$19:$B$25,0),4)*(1-V587)+OFFSET('玩法产出(新)'!$C$18,1+MATCH(X587,'玩法产出(新)'!$B$19:$B$25,0),4)*(V587))^AC587*(1+OFFSET('玩法产出(新)'!$C$18,MATCH(X587,'玩法产出(新)'!$B$19:$B$25,0),5)*(1+V587)+OFFSET('玩法产出(新)'!$C$18,1+MATCH(X587,'玩法产出(新)'!$B$19:$B$25,5),1)*(V587))^AD587*(1+OFFSET('玩法产出(新)'!$C$18,MATCH(X587,'玩法产出(新)'!$B$19:$B$25,0),6)*(1+V587)+OFFSET('玩法产出(新)'!$C$18,1+MATCH(X587,'玩法产出(新)'!$B$19:$B$25,0),6)*(V587))^AE587</f>
        <v>382.268549468008</v>
      </c>
      <c r="U587" s="226">
        <f ca="1" t="shared" si="312"/>
        <v>0.174250619461471</v>
      </c>
      <c r="V587" s="226">
        <f ca="1">COUNTIF($X$124:$X587,X587)/(COUNTIF($X$124:$X$723,X587)+1)</f>
        <v>0.717525773195876</v>
      </c>
      <c r="W587" s="19">
        <v>30</v>
      </c>
      <c r="X587" s="19" t="s">
        <v>326</v>
      </c>
      <c r="Y587" s="19">
        <f t="shared" si="318"/>
        <v>47560</v>
      </c>
      <c r="Z587" s="19">
        <f ca="1" t="shared" si="294"/>
        <v>0</v>
      </c>
      <c r="AA587" s="282">
        <f ca="1" t="shared" si="295"/>
        <v>0</v>
      </c>
      <c r="AB587" s="282">
        <f ca="1" t="shared" si="296"/>
        <v>18</v>
      </c>
      <c r="AC587" s="282">
        <f ca="1" t="shared" si="297"/>
        <v>9.8049</v>
      </c>
      <c r="AD587" s="282">
        <f ca="1" t="shared" si="298"/>
        <v>2.451225</v>
      </c>
      <c r="AE587" s="282">
        <f ca="1" t="shared" si="299"/>
        <v>0.61280625</v>
      </c>
      <c r="AF587" s="19" t="str">
        <f t="shared" si="300"/>
        <v>彩4</v>
      </c>
      <c r="AG587" s="19">
        <f>IFERROR(_xlfn.XLOOKUP(C587+1,[2]基因升级!$E$141:$E$500,[2]基因升级!$D$141:$D$500)-1,AG586)</f>
        <v>114</v>
      </c>
      <c r="AH587" s="19">
        <v>8</v>
      </c>
      <c r="AI587" s="19">
        <f t="shared" si="301"/>
        <v>10.5142500606751</v>
      </c>
      <c r="AJ587" s="19">
        <f t="shared" si="313"/>
        <v>0</v>
      </c>
      <c r="AK587" s="269">
        <v>2.0368</v>
      </c>
      <c r="AL587" s="287">
        <f t="shared" si="281"/>
        <v>20.1999999999997</v>
      </c>
      <c r="AM587" s="287">
        <f t="shared" si="282"/>
        <v>16.5999999999998</v>
      </c>
      <c r="AN587" s="287">
        <f t="shared" si="284"/>
        <v>12.9999999999999</v>
      </c>
      <c r="AO587" s="287">
        <f t="shared" si="319"/>
        <v>9.39999999999997</v>
      </c>
      <c r="AP587" s="287">
        <f t="shared" si="283"/>
        <v>5.8</v>
      </c>
      <c r="AQ587" s="19">
        <f t="shared" si="302"/>
        <v>3.922403874612</v>
      </c>
      <c r="AR587" s="19">
        <f t="shared" si="303"/>
        <v>3.07447318510863</v>
      </c>
      <c r="AS587" s="19">
        <f t="shared" si="304"/>
        <v>2.40984500018807</v>
      </c>
      <c r="AT587" s="19">
        <f t="shared" si="305"/>
        <v>1.88889366577</v>
      </c>
      <c r="AU587" s="19">
        <f t="shared" si="306"/>
        <v>1.48055965437925</v>
      </c>
      <c r="AV587" s="232">
        <f t="shared" si="286"/>
        <v>0.0399999999999991</v>
      </c>
      <c r="AW587" s="232">
        <f t="shared" si="287"/>
        <v>0.0399999999999991</v>
      </c>
      <c r="AX587" s="232">
        <f t="shared" si="288"/>
        <v>0.0399999999999991</v>
      </c>
      <c r="AY587" s="232">
        <f t="shared" si="289"/>
        <v>0.0399999999999991</v>
      </c>
      <c r="AZ587" s="232">
        <f t="shared" si="290"/>
        <v>0.04</v>
      </c>
    </row>
    <row r="588" spans="1:52">
      <c r="A588" s="269"/>
      <c r="C588" s="19">
        <v>465</v>
      </c>
      <c r="D588" s="86">
        <f ca="1" t="shared" si="314"/>
        <v>273.940606611687</v>
      </c>
      <c r="E588" s="251">
        <f ca="1" t="shared" si="291"/>
        <v>0.33351045718814</v>
      </c>
      <c r="F588" s="269">
        <f ca="1" t="shared" si="307"/>
        <v>543.87639439889</v>
      </c>
      <c r="G588" s="283">
        <f ca="1" t="shared" si="308"/>
        <v>181.388464949811</v>
      </c>
      <c r="H588" s="279">
        <f ca="1" t="shared" si="309"/>
        <v>0.159110537856833</v>
      </c>
      <c r="I588" s="269">
        <f ca="1">SUM($J$125:J588)/SUM($H$125:H588)</f>
        <v>0.477372584338585</v>
      </c>
      <c r="J588" s="284">
        <f t="shared" si="315"/>
        <v>0.0531597150084195</v>
      </c>
      <c r="K588" s="19">
        <f t="shared" si="317"/>
        <v>47400</v>
      </c>
      <c r="L588" s="269">
        <f t="shared" si="310"/>
        <v>3.36999999999995</v>
      </c>
      <c r="M588" s="226">
        <f ca="1" t="shared" si="311"/>
        <v>591.359999999999</v>
      </c>
      <c r="N588" s="280">
        <f ca="1" t="shared" si="316"/>
        <v>0.105950822848428</v>
      </c>
      <c r="O588" s="226">
        <f t="shared" si="321"/>
        <v>211.2</v>
      </c>
      <c r="P588" s="19">
        <f ca="1" t="shared" si="285"/>
        <v>19</v>
      </c>
      <c r="Q588" s="226">
        <f ca="1" t="shared" si="320"/>
        <v>2.8</v>
      </c>
      <c r="R588" s="269">
        <f ca="1" t="shared" si="292"/>
        <v>0.937342766947057</v>
      </c>
      <c r="S588" s="266">
        <f ca="1" t="shared" si="293"/>
        <v>88.0585581876014</v>
      </c>
      <c r="T588" s="226">
        <f ca="1">(1+OFFSET('玩法产出(新)'!$C$18,MATCH(X588,'玩法产出(新)'!$B$19:$B$25,0),1)*(1-V588)+OFFSET('玩法产出(新)'!$C$18,1+MATCH(X588,'玩法产出(新)'!$B$19:$B$25,0),1)*(V588))^AA588*(1+OFFSET('玩法产出(新)'!$C$18,MATCH(X588,'玩法产出(新)'!$B$19:$B$25,0),3)*(1-V588)+OFFSET('玩法产出(新)'!$C$18,1+MATCH(X588,'玩法产出(新)'!$B$19:$B$25,0),3)*(V588))^AB588*(1+OFFSET('玩法产出(新)'!$C$18,MATCH(X588,'玩法产出(新)'!$B$19:$B$25,0),4)*(1-V588)+OFFSET('玩法产出(新)'!$C$18,1+MATCH(X588,'玩法产出(新)'!$B$19:$B$25,0),4)*(V588))^AC588*(1+OFFSET('玩法产出(新)'!$C$18,MATCH(X588,'玩法产出(新)'!$B$19:$B$25,0),5)*(1+V588)+OFFSET('玩法产出(新)'!$C$18,1+MATCH(X588,'玩法产出(新)'!$B$19:$B$25,5),1)*(V588))^AD588*(1+OFFSET('玩法产出(新)'!$C$18,MATCH(X588,'玩法产出(新)'!$B$19:$B$25,0),6)*(1+V588)+OFFSET('玩法产出(新)'!$C$18,1+MATCH(X588,'玩法产出(新)'!$B$19:$B$25,0),6)*(V588))^AE588</f>
        <v>386.805906460502</v>
      </c>
      <c r="U588" s="226">
        <f ca="1" t="shared" si="312"/>
        <v>0.174399919331293</v>
      </c>
      <c r="V588" s="226">
        <f ca="1">COUNTIF($X$124:$X588,X588)/(COUNTIF($X$124:$X$723,X588)+1)</f>
        <v>0.719587628865979</v>
      </c>
      <c r="W588" s="19">
        <v>30</v>
      </c>
      <c r="X588" s="19" t="s">
        <v>326</v>
      </c>
      <c r="Y588" s="19">
        <f t="shared" si="318"/>
        <v>47660</v>
      </c>
      <c r="Z588" s="19">
        <f ca="1" t="shared" si="294"/>
        <v>0</v>
      </c>
      <c r="AA588" s="282">
        <f ca="1" t="shared" si="295"/>
        <v>0</v>
      </c>
      <c r="AB588" s="282">
        <f ca="1" t="shared" si="296"/>
        <v>18</v>
      </c>
      <c r="AC588" s="282">
        <f ca="1" t="shared" si="297"/>
        <v>9.82575</v>
      </c>
      <c r="AD588" s="282">
        <f ca="1" t="shared" si="298"/>
        <v>2.4564375</v>
      </c>
      <c r="AE588" s="282">
        <f ca="1" t="shared" si="299"/>
        <v>0.614109375</v>
      </c>
      <c r="AF588" s="19" t="str">
        <f t="shared" si="300"/>
        <v>彩4</v>
      </c>
      <c r="AG588" s="19">
        <f>IFERROR(_xlfn.XLOOKUP(C588+1,[2]基因升级!$E$141:$E$500,[2]基因升级!$D$141:$D$500)-1,AG587)</f>
        <v>114</v>
      </c>
      <c r="AH588" s="19">
        <v>8</v>
      </c>
      <c r="AI588" s="19">
        <f t="shared" si="301"/>
        <v>10.5142500606751</v>
      </c>
      <c r="AJ588" s="19">
        <f t="shared" si="313"/>
        <v>0</v>
      </c>
      <c r="AK588" s="269">
        <v>2.0368</v>
      </c>
      <c r="AL588" s="287">
        <f t="shared" si="281"/>
        <v>20.2399999999997</v>
      </c>
      <c r="AM588" s="287">
        <f t="shared" si="282"/>
        <v>16.6399999999998</v>
      </c>
      <c r="AN588" s="287">
        <f t="shared" si="284"/>
        <v>13.0399999999999</v>
      </c>
      <c r="AO588" s="287">
        <f t="shared" si="319"/>
        <v>9.43999999999997</v>
      </c>
      <c r="AP588" s="287">
        <f t="shared" si="283"/>
        <v>5.84</v>
      </c>
      <c r="AQ588" s="19">
        <f t="shared" si="302"/>
        <v>3.93303363382386</v>
      </c>
      <c r="AR588" s="19">
        <f t="shared" si="303"/>
        <v>3.08280504248634</v>
      </c>
      <c r="AS588" s="19">
        <f t="shared" si="304"/>
        <v>2.41637570760851</v>
      </c>
      <c r="AT588" s="19">
        <f t="shared" si="305"/>
        <v>1.89401258913582</v>
      </c>
      <c r="AU588" s="19">
        <f t="shared" si="306"/>
        <v>1.48457198791959</v>
      </c>
      <c r="AV588" s="232">
        <f t="shared" si="286"/>
        <v>0.0399999999999991</v>
      </c>
      <c r="AW588" s="232">
        <f t="shared" si="287"/>
        <v>0.0399999999999991</v>
      </c>
      <c r="AX588" s="232">
        <f t="shared" si="288"/>
        <v>0.0399999999999991</v>
      </c>
      <c r="AY588" s="232">
        <f t="shared" si="289"/>
        <v>0.0399999999999991</v>
      </c>
      <c r="AZ588" s="232">
        <f t="shared" si="290"/>
        <v>0.04</v>
      </c>
    </row>
    <row r="589" spans="1:52">
      <c r="A589" s="269"/>
      <c r="C589" s="19">
        <v>466</v>
      </c>
      <c r="D589" s="86">
        <f ca="1" t="shared" si="314"/>
        <v>274.273413874384</v>
      </c>
      <c r="E589" s="251">
        <f ca="1" t="shared" si="291"/>
        <v>0.332807262696434</v>
      </c>
      <c r="F589" s="269">
        <f ca="1" t="shared" si="307"/>
        <v>545.501085500334</v>
      </c>
      <c r="G589" s="283">
        <f ca="1" t="shared" si="308"/>
        <v>181.546723063299</v>
      </c>
      <c r="H589" s="279">
        <f ca="1" t="shared" si="309"/>
        <v>0.158258113488557</v>
      </c>
      <c r="I589" s="269">
        <f ca="1">SUM($J$125:J589)/SUM($H$125:H589)</f>
        <v>0.477241502328892</v>
      </c>
      <c r="J589" s="284">
        <f t="shared" si="315"/>
        <v>0.0530613954131525</v>
      </c>
      <c r="K589" s="19">
        <f t="shared" si="317"/>
        <v>47500</v>
      </c>
      <c r="L589" s="269">
        <f t="shared" si="310"/>
        <v>3.37499999999995</v>
      </c>
      <c r="M589" s="226">
        <f ca="1" t="shared" si="311"/>
        <v>595.583999999999</v>
      </c>
      <c r="N589" s="280">
        <f ca="1" t="shared" si="316"/>
        <v>0.105196718075405</v>
      </c>
      <c r="O589" s="226">
        <f t="shared" si="321"/>
        <v>211.2</v>
      </c>
      <c r="P589" s="19">
        <f ca="1" t="shared" si="285"/>
        <v>19.2</v>
      </c>
      <c r="Q589" s="226">
        <f ca="1" t="shared" si="320"/>
        <v>2.82</v>
      </c>
      <c r="R589" s="269">
        <f ca="1" t="shared" si="292"/>
        <v>0.939200762193109</v>
      </c>
      <c r="S589" s="266">
        <f ca="1" t="shared" si="293"/>
        <v>88.2331073368093</v>
      </c>
      <c r="T589" s="226">
        <f ca="1">(1+OFFSET('玩法产出(新)'!$C$18,MATCH(X589,'玩法产出(新)'!$B$19:$B$25,0),1)*(1-V589)+OFFSET('玩法产出(新)'!$C$18,1+MATCH(X589,'玩法产出(新)'!$B$19:$B$25,0),1)*(V589))^AA589*(1+OFFSET('玩法产出(新)'!$C$18,MATCH(X589,'玩法产出(新)'!$B$19:$B$25,0),3)*(1-V589)+OFFSET('玩法产出(新)'!$C$18,1+MATCH(X589,'玩法产出(新)'!$B$19:$B$25,0),3)*(V589))^AB589*(1+OFFSET('玩法产出(新)'!$C$18,MATCH(X589,'玩法产出(新)'!$B$19:$B$25,0),4)*(1-V589)+OFFSET('玩法产出(新)'!$C$18,1+MATCH(X589,'玩法产出(新)'!$B$19:$B$25,0),4)*(V589))^AC589*(1+OFFSET('玩法产出(新)'!$C$18,MATCH(X589,'玩法产出(新)'!$B$19:$B$25,0),5)*(1+V589)+OFFSET('玩法产出(新)'!$C$18,1+MATCH(X589,'玩法产出(新)'!$B$19:$B$25,5),1)*(V589))^AD589*(1+OFFSET('玩法产出(新)'!$C$18,MATCH(X589,'玩法产出(新)'!$B$19:$B$25,0),6)*(1+V589)+OFFSET('玩法产出(新)'!$C$18,1+MATCH(X589,'玩法产出(新)'!$B$19:$B$25,0),6)*(V589))^AE589</f>
        <v>391.401071690512</v>
      </c>
      <c r="U589" s="226">
        <f ca="1" t="shared" si="312"/>
        <v>0.174549149207877</v>
      </c>
      <c r="V589" s="226">
        <f ca="1">COUNTIF($X$124:$X589,X589)/(COUNTIF($X$124:$X$723,X589)+1)</f>
        <v>0.721649484536082</v>
      </c>
      <c r="W589" s="19">
        <v>30</v>
      </c>
      <c r="X589" s="19" t="s">
        <v>326</v>
      </c>
      <c r="Y589" s="19">
        <f t="shared" si="318"/>
        <v>47760</v>
      </c>
      <c r="Z589" s="19">
        <f ca="1" t="shared" si="294"/>
        <v>0</v>
      </c>
      <c r="AA589" s="282">
        <f ca="1" t="shared" si="295"/>
        <v>0</v>
      </c>
      <c r="AB589" s="282">
        <f ca="1" t="shared" si="296"/>
        <v>18</v>
      </c>
      <c r="AC589" s="282">
        <f ca="1" t="shared" si="297"/>
        <v>9.8466</v>
      </c>
      <c r="AD589" s="282">
        <f ca="1" t="shared" si="298"/>
        <v>2.46165</v>
      </c>
      <c r="AE589" s="282">
        <f ca="1" t="shared" si="299"/>
        <v>0.6154125</v>
      </c>
      <c r="AF589" s="19" t="str">
        <f t="shared" si="300"/>
        <v>彩4</v>
      </c>
      <c r="AG589" s="19">
        <f>IFERROR(_xlfn.XLOOKUP(C589+1,[2]基因升级!$E$141:$E$500,[2]基因升级!$D$141:$D$500)-1,AG588)</f>
        <v>114</v>
      </c>
      <c r="AH589" s="19">
        <v>8</v>
      </c>
      <c r="AI589" s="19">
        <f t="shared" si="301"/>
        <v>10.5142500606751</v>
      </c>
      <c r="AJ589" s="19">
        <f t="shared" si="313"/>
        <v>0</v>
      </c>
      <c r="AK589" s="269">
        <v>2.0368</v>
      </c>
      <c r="AL589" s="287">
        <f t="shared" si="281"/>
        <v>20.2799999999997</v>
      </c>
      <c r="AM589" s="287">
        <f t="shared" si="282"/>
        <v>16.6799999999998</v>
      </c>
      <c r="AN589" s="287">
        <f t="shared" si="284"/>
        <v>13.0799999999999</v>
      </c>
      <c r="AO589" s="287">
        <f t="shared" si="319"/>
        <v>9.47999999999997</v>
      </c>
      <c r="AP589" s="287">
        <f t="shared" si="283"/>
        <v>5.88</v>
      </c>
      <c r="AQ589" s="19">
        <f t="shared" si="302"/>
        <v>3.94369219980435</v>
      </c>
      <c r="AR589" s="19">
        <f t="shared" si="303"/>
        <v>3.09115947929251</v>
      </c>
      <c r="AS589" s="19">
        <f t="shared" si="304"/>
        <v>2.4229241133205</v>
      </c>
      <c r="AT589" s="19">
        <f t="shared" si="305"/>
        <v>1.89914538484231</v>
      </c>
      <c r="AU589" s="19">
        <f t="shared" si="306"/>
        <v>1.48859519492955</v>
      </c>
      <c r="AV589" s="232">
        <f t="shared" si="286"/>
        <v>0.0399999999999991</v>
      </c>
      <c r="AW589" s="232">
        <f t="shared" si="287"/>
        <v>0.0399999999999991</v>
      </c>
      <c r="AX589" s="232">
        <f t="shared" si="288"/>
        <v>0.0399999999999991</v>
      </c>
      <c r="AY589" s="232">
        <f t="shared" si="289"/>
        <v>0.0399999999999991</v>
      </c>
      <c r="AZ589" s="232">
        <f t="shared" si="290"/>
        <v>0.04</v>
      </c>
    </row>
    <row r="590" spans="1:52">
      <c r="A590" s="269"/>
      <c r="C590" s="19">
        <v>467</v>
      </c>
      <c r="D590" s="86">
        <f ca="1" t="shared" si="314"/>
        <v>274.60552890456</v>
      </c>
      <c r="E590" s="251">
        <f ca="1" t="shared" si="291"/>
        <v>0.332115030175655</v>
      </c>
      <c r="F590" s="269">
        <f ca="1" t="shared" si="307"/>
        <v>547.112064419971</v>
      </c>
      <c r="G590" s="283">
        <f ca="1" t="shared" si="308"/>
        <v>181.704139784303</v>
      </c>
      <c r="H590" s="279">
        <f ca="1" t="shared" si="309"/>
        <v>0.157416721003926</v>
      </c>
      <c r="I590" s="269">
        <f ca="1">SUM($J$125:J590)/SUM($H$125:H590)</f>
        <v>0.477112429473638</v>
      </c>
      <c r="J590" s="284">
        <f t="shared" si="315"/>
        <v>0.0529634488427462</v>
      </c>
      <c r="K590" s="19">
        <f t="shared" si="317"/>
        <v>47600</v>
      </c>
      <c r="L590" s="269">
        <f t="shared" si="310"/>
        <v>3.37999999999995</v>
      </c>
      <c r="M590" s="226">
        <f ca="1" t="shared" si="311"/>
        <v>599.807999999999</v>
      </c>
      <c r="N590" s="280">
        <f ca="1" t="shared" si="316"/>
        <v>0.104453272161166</v>
      </c>
      <c r="O590" s="226">
        <f t="shared" si="321"/>
        <v>211.2</v>
      </c>
      <c r="P590" s="19">
        <f ca="1" t="shared" si="285"/>
        <v>19.4</v>
      </c>
      <c r="Q590" s="226">
        <f ca="1" t="shared" si="320"/>
        <v>2.84</v>
      </c>
      <c r="R590" s="269">
        <f ca="1" t="shared" si="292"/>
        <v>0.941060345178231</v>
      </c>
      <c r="S590" s="266">
        <f ca="1" t="shared" si="293"/>
        <v>88.4078056459811</v>
      </c>
      <c r="T590" s="226">
        <f ca="1">(1+OFFSET('玩法产出(新)'!$C$18,MATCH(X590,'玩法产出(新)'!$B$19:$B$25,0),1)*(1-V590)+OFFSET('玩法产出(新)'!$C$18,1+MATCH(X590,'玩法产出(新)'!$B$19:$B$25,0),1)*(V590))^AA590*(1+OFFSET('玩法产出(新)'!$C$18,MATCH(X590,'玩法产出(新)'!$B$19:$B$25,0),3)*(1-V590)+OFFSET('玩法产出(新)'!$C$18,1+MATCH(X590,'玩法产出(新)'!$B$19:$B$25,0),3)*(V590))^AB590*(1+OFFSET('玩法产出(新)'!$C$18,MATCH(X590,'玩法产出(新)'!$B$19:$B$25,0),4)*(1-V590)+OFFSET('玩法产出(新)'!$C$18,1+MATCH(X590,'玩法产出(新)'!$B$19:$B$25,0),4)*(V590))^AC590*(1+OFFSET('玩法产出(新)'!$C$18,MATCH(X590,'玩法产出(新)'!$B$19:$B$25,0),5)*(1+V590)+OFFSET('玩法产出(新)'!$C$18,1+MATCH(X590,'玩法产出(新)'!$B$19:$B$25,5),1)*(V590))^AD590*(1+OFFSET('玩法产出(新)'!$C$18,MATCH(X590,'玩法产出(新)'!$B$19:$B$25,0),6)*(1+V590)+OFFSET('玩法产出(新)'!$C$18,1+MATCH(X590,'玩法产出(新)'!$B$19:$B$25,0),6)*(V590))^AE590</f>
        <v>396.054823376769</v>
      </c>
      <c r="U590" s="226">
        <f ca="1" t="shared" si="312"/>
        <v>0.174698309171742</v>
      </c>
      <c r="V590" s="226">
        <f ca="1">COUNTIF($X$124:$X590,X590)/(COUNTIF($X$124:$X$723,X590)+1)</f>
        <v>0.723711340206186</v>
      </c>
      <c r="W590" s="19">
        <v>30</v>
      </c>
      <c r="X590" s="19" t="s">
        <v>326</v>
      </c>
      <c r="Y590" s="19">
        <f t="shared" si="318"/>
        <v>47860</v>
      </c>
      <c r="Z590" s="19">
        <f ca="1" t="shared" si="294"/>
        <v>0</v>
      </c>
      <c r="AA590" s="282">
        <f ca="1" t="shared" si="295"/>
        <v>0</v>
      </c>
      <c r="AB590" s="282">
        <f ca="1" t="shared" si="296"/>
        <v>18</v>
      </c>
      <c r="AC590" s="282">
        <f ca="1" t="shared" si="297"/>
        <v>9.86745</v>
      </c>
      <c r="AD590" s="282">
        <f ca="1" t="shared" si="298"/>
        <v>2.4668625</v>
      </c>
      <c r="AE590" s="282">
        <f ca="1" t="shared" si="299"/>
        <v>0.616715625</v>
      </c>
      <c r="AF590" s="19" t="str">
        <f t="shared" si="300"/>
        <v>彩4</v>
      </c>
      <c r="AG590" s="19">
        <f>IFERROR(_xlfn.XLOOKUP(C590+1,[2]基因升级!$E$141:$E$500,[2]基因升级!$D$141:$D$500)-1,AG589)</f>
        <v>114</v>
      </c>
      <c r="AH590" s="19">
        <v>8</v>
      </c>
      <c r="AI590" s="19">
        <f t="shared" si="301"/>
        <v>10.5142500606751</v>
      </c>
      <c r="AJ590" s="19">
        <f t="shared" si="313"/>
        <v>0</v>
      </c>
      <c r="AK590" s="269">
        <v>2.0368</v>
      </c>
      <c r="AL590" s="287">
        <f t="shared" si="281"/>
        <v>20.3199999999997</v>
      </c>
      <c r="AM590" s="287">
        <f t="shared" si="282"/>
        <v>16.7199999999998</v>
      </c>
      <c r="AN590" s="287">
        <f t="shared" si="284"/>
        <v>13.1199999999999</v>
      </c>
      <c r="AO590" s="287">
        <f t="shared" si="319"/>
        <v>9.51999999999997</v>
      </c>
      <c r="AP590" s="287">
        <f t="shared" si="283"/>
        <v>5.92</v>
      </c>
      <c r="AQ590" s="19">
        <f t="shared" si="302"/>
        <v>3.95437965062015</v>
      </c>
      <c r="AR590" s="19">
        <f t="shared" si="303"/>
        <v>3.09953655671766</v>
      </c>
      <c r="AS590" s="19">
        <f t="shared" si="304"/>
        <v>2.42949026528662</v>
      </c>
      <c r="AT590" s="19">
        <f t="shared" si="305"/>
        <v>1.90429209048368</v>
      </c>
      <c r="AU590" s="19">
        <f t="shared" si="306"/>
        <v>1.49262930487638</v>
      </c>
      <c r="AV590" s="232">
        <f t="shared" si="286"/>
        <v>0.0399999999999991</v>
      </c>
      <c r="AW590" s="232">
        <f t="shared" si="287"/>
        <v>0.0399999999999991</v>
      </c>
      <c r="AX590" s="232">
        <f t="shared" si="288"/>
        <v>0.0399999999999991</v>
      </c>
      <c r="AY590" s="232">
        <f t="shared" si="289"/>
        <v>0.0399999999999991</v>
      </c>
      <c r="AZ590" s="232">
        <f t="shared" si="290"/>
        <v>0.04</v>
      </c>
    </row>
    <row r="591" spans="1:52">
      <c r="A591" s="269"/>
      <c r="C591" s="19">
        <v>468</v>
      </c>
      <c r="D591" s="86">
        <f ca="1" t="shared" si="314"/>
        <v>274.936962437696</v>
      </c>
      <c r="E591" s="251">
        <f ca="1" t="shared" si="291"/>
        <v>0.331433533136145</v>
      </c>
      <c r="F591" s="269">
        <f ca="1" t="shared" si="307"/>
        <v>548.7094929632</v>
      </c>
      <c r="G591" s="283">
        <f ca="1" t="shared" si="308"/>
        <v>181.860725918136</v>
      </c>
      <c r="H591" s="279">
        <f ca="1" t="shared" si="309"/>
        <v>0.156586133832974</v>
      </c>
      <c r="I591" s="269">
        <f ca="1">SUM($J$125:J591)/SUM($H$125:H591)</f>
        <v>0.476985330524822</v>
      </c>
      <c r="J591" s="284">
        <f t="shared" si="315"/>
        <v>0.0528658731280558</v>
      </c>
      <c r="K591" s="19">
        <f t="shared" si="317"/>
        <v>47700</v>
      </c>
      <c r="L591" s="269">
        <f t="shared" si="310"/>
        <v>3.38499999999995</v>
      </c>
      <c r="M591" s="226">
        <f ca="1" t="shared" si="311"/>
        <v>604.031999999999</v>
      </c>
      <c r="N591" s="280">
        <f ca="1" t="shared" si="316"/>
        <v>0.103720260704932</v>
      </c>
      <c r="O591" s="226">
        <f t="shared" si="321"/>
        <v>211.2</v>
      </c>
      <c r="P591" s="19">
        <f ca="1" t="shared" si="285"/>
        <v>19.6</v>
      </c>
      <c r="Q591" s="226">
        <f ca="1" t="shared" si="320"/>
        <v>2.86</v>
      </c>
      <c r="R591" s="269">
        <f ca="1" t="shared" si="292"/>
        <v>0.942921515159088</v>
      </c>
      <c r="S591" s="266">
        <f ca="1" t="shared" si="293"/>
        <v>88.5826530452842</v>
      </c>
      <c r="T591" s="226">
        <f ca="1">(1+OFFSET('玩法产出(新)'!$C$18,MATCH(X591,'玩法产出(新)'!$B$19:$B$25,0),1)*(1-V591)+OFFSET('玩法产出(新)'!$C$18,1+MATCH(X591,'玩法产出(新)'!$B$19:$B$25,0),1)*(V591))^AA591*(1+OFFSET('玩法产出(新)'!$C$18,MATCH(X591,'玩法产出(新)'!$B$19:$B$25,0),3)*(1-V591)+OFFSET('玩法产出(新)'!$C$18,1+MATCH(X591,'玩法产出(新)'!$B$19:$B$25,0),3)*(V591))^AB591*(1+OFFSET('玩法产出(新)'!$C$18,MATCH(X591,'玩法产出(新)'!$B$19:$B$25,0),4)*(1-V591)+OFFSET('玩法产出(新)'!$C$18,1+MATCH(X591,'玩法产出(新)'!$B$19:$B$25,0),4)*(V591))^AC591*(1+OFFSET('玩法产出(新)'!$C$18,MATCH(X591,'玩法产出(新)'!$B$19:$B$25,0),5)*(1+V591)+OFFSET('玩法产出(新)'!$C$18,1+MATCH(X591,'玩法产出(新)'!$B$19:$B$25,5),1)*(V591))^AD591*(1+OFFSET('玩法产出(新)'!$C$18,MATCH(X591,'玩法产出(新)'!$B$19:$B$25,0),6)*(1+V591)+OFFSET('玩法产出(新)'!$C$18,1+MATCH(X591,'玩法产出(新)'!$B$19:$B$25,0),6)*(V591))^AE591</f>
        <v>400.767950707505</v>
      </c>
      <c r="U591" s="226">
        <f ca="1" t="shared" si="312"/>
        <v>0.174847399303157</v>
      </c>
      <c r="V591" s="226">
        <f ca="1">COUNTIF($X$124:$X591,X591)/(COUNTIF($X$124:$X$723,X591)+1)</f>
        <v>0.725773195876289</v>
      </c>
      <c r="W591" s="19">
        <v>30</v>
      </c>
      <c r="X591" s="19" t="s">
        <v>326</v>
      </c>
      <c r="Y591" s="19">
        <f t="shared" si="318"/>
        <v>47960</v>
      </c>
      <c r="Z591" s="19">
        <f ca="1" t="shared" si="294"/>
        <v>0</v>
      </c>
      <c r="AA591" s="282">
        <f ca="1" t="shared" si="295"/>
        <v>0</v>
      </c>
      <c r="AB591" s="282">
        <f ca="1" t="shared" si="296"/>
        <v>18</v>
      </c>
      <c r="AC591" s="282">
        <f ca="1" t="shared" si="297"/>
        <v>9.8883</v>
      </c>
      <c r="AD591" s="282">
        <f ca="1" t="shared" si="298"/>
        <v>2.472075</v>
      </c>
      <c r="AE591" s="282">
        <f ca="1" t="shared" si="299"/>
        <v>0.61801875</v>
      </c>
      <c r="AF591" s="19" t="str">
        <f t="shared" si="300"/>
        <v>彩4</v>
      </c>
      <c r="AG591" s="19">
        <f>IFERROR(_xlfn.XLOOKUP(C591+1,[2]基因升级!$E$141:$E$500,[2]基因升级!$D$141:$D$500)-1,AG590)</f>
        <v>114</v>
      </c>
      <c r="AH591" s="19">
        <v>8</v>
      </c>
      <c r="AI591" s="19">
        <f t="shared" si="301"/>
        <v>10.5142500606751</v>
      </c>
      <c r="AJ591" s="19">
        <f t="shared" si="313"/>
        <v>0</v>
      </c>
      <c r="AK591" s="269">
        <v>2.0368</v>
      </c>
      <c r="AL591" s="287">
        <f t="shared" si="281"/>
        <v>20.3599999999997</v>
      </c>
      <c r="AM591" s="287">
        <f t="shared" si="282"/>
        <v>16.7599999999998</v>
      </c>
      <c r="AN591" s="287">
        <f t="shared" si="284"/>
        <v>13.1599999999999</v>
      </c>
      <c r="AO591" s="287">
        <f t="shared" si="319"/>
        <v>9.55999999999997</v>
      </c>
      <c r="AP591" s="287">
        <f t="shared" si="283"/>
        <v>5.96</v>
      </c>
      <c r="AQ591" s="19">
        <f t="shared" si="302"/>
        <v>3.96509606454948</v>
      </c>
      <c r="AR591" s="19">
        <f t="shared" si="303"/>
        <v>3.10793633611812</v>
      </c>
      <c r="AS591" s="19">
        <f t="shared" si="304"/>
        <v>2.43607421159942</v>
      </c>
      <c r="AT591" s="19">
        <f t="shared" si="305"/>
        <v>1.909452743756</v>
      </c>
      <c r="AU591" s="19">
        <f t="shared" si="306"/>
        <v>1.49667434730714</v>
      </c>
      <c r="AV591" s="232">
        <f t="shared" si="286"/>
        <v>0.0399999999999991</v>
      </c>
      <c r="AW591" s="232">
        <f t="shared" si="287"/>
        <v>0.0399999999999991</v>
      </c>
      <c r="AX591" s="232">
        <f t="shared" si="288"/>
        <v>0.0399999999999991</v>
      </c>
      <c r="AY591" s="232">
        <f t="shared" si="289"/>
        <v>0.0399999999999991</v>
      </c>
      <c r="AZ591" s="232">
        <f t="shared" si="290"/>
        <v>0.04</v>
      </c>
    </row>
    <row r="592" spans="1:52">
      <c r="A592" s="269"/>
      <c r="C592" s="19">
        <v>469</v>
      </c>
      <c r="D592" s="86">
        <f ca="1" t="shared" si="314"/>
        <v>275.267724989056</v>
      </c>
      <c r="E592" s="251">
        <f ca="1" t="shared" si="291"/>
        <v>0.330762551360418</v>
      </c>
      <c r="F592" s="269">
        <f ca="1" t="shared" si="307"/>
        <v>550.29353021128</v>
      </c>
      <c r="G592" s="283">
        <f ca="1" t="shared" si="308"/>
        <v>182.016492049814</v>
      </c>
      <c r="H592" s="279">
        <f ca="1" t="shared" si="309"/>
        <v>0.155766131678035</v>
      </c>
      <c r="I592" s="269">
        <f ca="1">SUM($J$125:J592)/SUM($H$125:H592)</f>
        <v>0.476860171050695</v>
      </c>
      <c r="J592" s="284">
        <f t="shared" si="315"/>
        <v>0.05276866611689</v>
      </c>
      <c r="K592" s="19">
        <f t="shared" si="317"/>
        <v>47800</v>
      </c>
      <c r="L592" s="269">
        <f t="shared" si="310"/>
        <v>3.38999999999995</v>
      </c>
      <c r="M592" s="226">
        <f ca="1" t="shared" si="311"/>
        <v>608.255999999999</v>
      </c>
      <c r="N592" s="280">
        <f ca="1" t="shared" si="316"/>
        <v>0.102997465561103</v>
      </c>
      <c r="O592" s="226">
        <f t="shared" si="321"/>
        <v>211.2</v>
      </c>
      <c r="P592" s="19">
        <f ca="1" t="shared" si="285"/>
        <v>19.8</v>
      </c>
      <c r="Q592" s="226">
        <f ca="1" t="shared" si="320"/>
        <v>2.88</v>
      </c>
      <c r="R592" s="269">
        <f ca="1" t="shared" si="292"/>
        <v>0.944784271393201</v>
      </c>
      <c r="S592" s="266">
        <f ca="1" t="shared" si="293"/>
        <v>88.7576494649667</v>
      </c>
      <c r="T592" s="226">
        <f ca="1">(1+OFFSET('玩法产出(新)'!$C$18,MATCH(X592,'玩法产出(新)'!$B$19:$B$25,0),1)*(1-V592)+OFFSET('玩法产出(新)'!$C$18,1+MATCH(X592,'玩法产出(新)'!$B$19:$B$25,0),1)*(V592))^AA592*(1+OFFSET('玩法产出(新)'!$C$18,MATCH(X592,'玩法产出(新)'!$B$19:$B$25,0),3)*(1-V592)+OFFSET('玩法产出(新)'!$C$18,1+MATCH(X592,'玩法产出(新)'!$B$19:$B$25,0),3)*(V592))^AB592*(1+OFFSET('玩法产出(新)'!$C$18,MATCH(X592,'玩法产出(新)'!$B$19:$B$25,0),4)*(1-V592)+OFFSET('玩法产出(新)'!$C$18,1+MATCH(X592,'玩法产出(新)'!$B$19:$B$25,0),4)*(V592))^AC592*(1+OFFSET('玩法产出(新)'!$C$18,MATCH(X592,'玩法产出(新)'!$B$19:$B$25,0),5)*(1+V592)+OFFSET('玩法产出(新)'!$C$18,1+MATCH(X592,'玩法产出(新)'!$B$19:$B$25,5),1)*(V592))^AD592*(1+OFFSET('玩法产出(新)'!$C$18,MATCH(X592,'玩法产出(新)'!$B$19:$B$25,0),6)*(1+V592)+OFFSET('玩法产出(新)'!$C$18,1+MATCH(X592,'玩法产出(新)'!$B$19:$B$25,0),6)*(V592))^AE592</f>
        <v>405.541254001349</v>
      </c>
      <c r="U592" s="226">
        <f ca="1" t="shared" si="312"/>
        <v>0.174996419682426</v>
      </c>
      <c r="V592" s="226">
        <f ca="1">COUNTIF($X$124:$X592,X592)/(COUNTIF($X$124:$X$723,X592)+1)</f>
        <v>0.727835051546392</v>
      </c>
      <c r="W592" s="19">
        <v>30</v>
      </c>
      <c r="X592" s="19" t="s">
        <v>326</v>
      </c>
      <c r="Y592" s="19">
        <f t="shared" si="318"/>
        <v>48060</v>
      </c>
      <c r="Z592" s="19">
        <f ca="1" t="shared" si="294"/>
        <v>0</v>
      </c>
      <c r="AA592" s="282">
        <f ca="1" t="shared" si="295"/>
        <v>0</v>
      </c>
      <c r="AB592" s="282">
        <f ca="1" t="shared" si="296"/>
        <v>18</v>
      </c>
      <c r="AC592" s="282">
        <f ca="1" t="shared" si="297"/>
        <v>9.90915</v>
      </c>
      <c r="AD592" s="282">
        <f ca="1" t="shared" si="298"/>
        <v>2.4772875</v>
      </c>
      <c r="AE592" s="282">
        <f ca="1" t="shared" si="299"/>
        <v>0.619321875</v>
      </c>
      <c r="AF592" s="19" t="str">
        <f t="shared" si="300"/>
        <v>彩4</v>
      </c>
      <c r="AG592" s="19">
        <f>IFERROR(_xlfn.XLOOKUP(C592+1,[2]基因升级!$E$141:$E$500,[2]基因升级!$D$141:$D$500)-1,AG591)</f>
        <v>114</v>
      </c>
      <c r="AH592" s="19">
        <v>8</v>
      </c>
      <c r="AI592" s="19">
        <f t="shared" si="301"/>
        <v>10.5142500606751</v>
      </c>
      <c r="AJ592" s="19">
        <f t="shared" si="313"/>
        <v>0</v>
      </c>
      <c r="AK592" s="269">
        <v>2.0368</v>
      </c>
      <c r="AL592" s="287">
        <f t="shared" ref="AL592:AL655" si="322">AL591+0.04</f>
        <v>20.3999999999997</v>
      </c>
      <c r="AM592" s="287">
        <f t="shared" si="282"/>
        <v>16.7999999999998</v>
      </c>
      <c r="AN592" s="287">
        <f t="shared" si="284"/>
        <v>13.1999999999999</v>
      </c>
      <c r="AO592" s="287">
        <f t="shared" si="319"/>
        <v>9.59999999999997</v>
      </c>
      <c r="AP592" s="287">
        <f t="shared" si="283"/>
        <v>6</v>
      </c>
      <c r="AQ592" s="19">
        <f t="shared" si="302"/>
        <v>3.97584152008272</v>
      </c>
      <c r="AR592" s="19">
        <f t="shared" si="303"/>
        <v>3.11635887901651</v>
      </c>
      <c r="AS592" s="19">
        <f t="shared" si="304"/>
        <v>2.44267600048177</v>
      </c>
      <c r="AT592" s="19">
        <f t="shared" si="305"/>
        <v>1.91462738245752</v>
      </c>
      <c r="AU592" s="19">
        <f t="shared" si="306"/>
        <v>1.500730351849</v>
      </c>
      <c r="AV592" s="232">
        <f t="shared" si="286"/>
        <v>0.0399999999999991</v>
      </c>
      <c r="AW592" s="232">
        <f t="shared" si="287"/>
        <v>0.0399999999999991</v>
      </c>
      <c r="AX592" s="232">
        <f t="shared" si="288"/>
        <v>0.0399999999999991</v>
      </c>
      <c r="AY592" s="232">
        <f t="shared" si="289"/>
        <v>0.0399999999999991</v>
      </c>
      <c r="AZ592" s="232">
        <f t="shared" si="290"/>
        <v>0.04</v>
      </c>
    </row>
    <row r="593" spans="1:52">
      <c r="A593" s="269"/>
      <c r="C593" s="19">
        <v>470</v>
      </c>
      <c r="D593" s="86">
        <f ca="1" t="shared" si="314"/>
        <v>275.597826859743</v>
      </c>
      <c r="E593" s="251">
        <f ca="1" t="shared" si="291"/>
        <v>0.330101870686625</v>
      </c>
      <c r="F593" s="269">
        <f ca="1" t="shared" si="307"/>
        <v>551.864332580691</v>
      </c>
      <c r="G593" s="283">
        <f ca="1" t="shared" si="308"/>
        <v>182.171448550111</v>
      </c>
      <c r="H593" s="279">
        <f ca="1" t="shared" si="309"/>
        <v>0.154956500297089</v>
      </c>
      <c r="I593" s="269">
        <f ca="1">SUM($J$125:J593)/SUM($H$125:H593)</f>
        <v>0.476736917411711</v>
      </c>
      <c r="J593" s="284">
        <f t="shared" si="315"/>
        <v>0.0526718256741248</v>
      </c>
      <c r="K593" s="19">
        <f t="shared" si="317"/>
        <v>47900</v>
      </c>
      <c r="L593" s="269">
        <f t="shared" si="310"/>
        <v>3.39499999999995</v>
      </c>
      <c r="M593" s="226">
        <f ca="1" t="shared" si="311"/>
        <v>612.479999999999</v>
      </c>
      <c r="N593" s="280">
        <f ca="1" t="shared" si="316"/>
        <v>0.102284674622979</v>
      </c>
      <c r="O593" s="226">
        <f t="shared" si="321"/>
        <v>211.2</v>
      </c>
      <c r="P593" s="19">
        <f ca="1" t="shared" si="285"/>
        <v>20</v>
      </c>
      <c r="Q593" s="226">
        <f ca="1" t="shared" si="320"/>
        <v>2.9</v>
      </c>
      <c r="R593" s="269">
        <f ca="1" t="shared" si="292"/>
        <v>0.946648613138942</v>
      </c>
      <c r="S593" s="266">
        <f ca="1" t="shared" si="293"/>
        <v>88.9327948353562</v>
      </c>
      <c r="T593" s="226">
        <f ca="1">(1+OFFSET('玩法产出(新)'!$C$18,MATCH(X593,'玩法产出(新)'!$B$19:$B$25,0),1)*(1-V593)+OFFSET('玩法产出(新)'!$C$18,1+MATCH(X593,'玩法产出(新)'!$B$19:$B$25,0),1)*(V593))^AA593*(1+OFFSET('玩法产出(新)'!$C$18,MATCH(X593,'玩法产出(新)'!$B$19:$B$25,0),3)*(1-V593)+OFFSET('玩法产出(新)'!$C$18,1+MATCH(X593,'玩法产出(新)'!$B$19:$B$25,0),3)*(V593))^AB593*(1+OFFSET('玩法产出(新)'!$C$18,MATCH(X593,'玩法产出(新)'!$B$19:$B$25,0),4)*(1-V593)+OFFSET('玩法产出(新)'!$C$18,1+MATCH(X593,'玩法产出(新)'!$B$19:$B$25,0),4)*(V593))^AC593*(1+OFFSET('玩法产出(新)'!$C$18,MATCH(X593,'玩法产出(新)'!$B$19:$B$25,0),5)*(1+V593)+OFFSET('玩法产出(新)'!$C$18,1+MATCH(X593,'玩法产出(新)'!$B$19:$B$25,5),1)*(V593))^AD593*(1+OFFSET('玩法产出(新)'!$C$18,MATCH(X593,'玩法产出(新)'!$B$19:$B$25,0),6)*(1+V593)+OFFSET('玩法产出(新)'!$C$18,1+MATCH(X593,'玩法产出(新)'!$B$19:$B$25,0),6)*(V593))^AE593</f>
        <v>410.375544870641</v>
      </c>
      <c r="U593" s="226">
        <f ca="1" t="shared" si="312"/>
        <v>0.175145370389521</v>
      </c>
      <c r="V593" s="226">
        <f ca="1">COUNTIF($X$124:$X593,X593)/(COUNTIF($X$124:$X$723,X593)+1)</f>
        <v>0.729896907216495</v>
      </c>
      <c r="W593" s="19">
        <v>30</v>
      </c>
      <c r="X593" s="19" t="s">
        <v>326</v>
      </c>
      <c r="Y593" s="19">
        <f t="shared" si="318"/>
        <v>48160</v>
      </c>
      <c r="Z593" s="19">
        <f ca="1" t="shared" si="294"/>
        <v>0</v>
      </c>
      <c r="AA593" s="282">
        <f ca="1" t="shared" si="295"/>
        <v>0</v>
      </c>
      <c r="AB593" s="282">
        <f ca="1" t="shared" si="296"/>
        <v>18</v>
      </c>
      <c r="AC593" s="282">
        <f ca="1" t="shared" si="297"/>
        <v>9.93</v>
      </c>
      <c r="AD593" s="282">
        <f ca="1" t="shared" si="298"/>
        <v>2.4825</v>
      </c>
      <c r="AE593" s="282">
        <f ca="1" t="shared" si="299"/>
        <v>0.620625</v>
      </c>
      <c r="AF593" s="19" t="str">
        <f t="shared" si="300"/>
        <v>彩4</v>
      </c>
      <c r="AG593" s="19">
        <f>IFERROR(_xlfn.XLOOKUP(C593+1,[2]基因升级!$E$141:$E$500,[2]基因升级!$D$141:$D$500)-1,AG592)</f>
        <v>114</v>
      </c>
      <c r="AH593" s="19">
        <v>8</v>
      </c>
      <c r="AI593" s="19">
        <f t="shared" si="301"/>
        <v>10.5142500606751</v>
      </c>
      <c r="AJ593" s="19">
        <f t="shared" si="313"/>
        <v>0</v>
      </c>
      <c r="AK593" s="269">
        <v>2.0368</v>
      </c>
      <c r="AL593" s="287">
        <f t="shared" si="322"/>
        <v>20.4399999999997</v>
      </c>
      <c r="AM593" s="287">
        <f t="shared" ref="AM593:AM656" si="323">AL503</f>
        <v>16.8399999999998</v>
      </c>
      <c r="AN593" s="287">
        <f t="shared" si="284"/>
        <v>13.2399999999999</v>
      </c>
      <c r="AO593" s="287">
        <f t="shared" si="319"/>
        <v>9.63999999999997</v>
      </c>
      <c r="AP593" s="287">
        <f t="shared" si="283"/>
        <v>6.04</v>
      </c>
      <c r="AQ593" s="19">
        <f t="shared" si="302"/>
        <v>3.98661609592294</v>
      </c>
      <c r="AR593" s="19">
        <f t="shared" si="303"/>
        <v>3.12480424710215</v>
      </c>
      <c r="AS593" s="19">
        <f t="shared" si="304"/>
        <v>2.44929568028725</v>
      </c>
      <c r="AT593" s="19">
        <f t="shared" si="305"/>
        <v>1.9198160444889</v>
      </c>
      <c r="AU593" s="19">
        <f t="shared" si="306"/>
        <v>1.5047973482094</v>
      </c>
      <c r="AV593" s="232">
        <f t="shared" si="286"/>
        <v>0.0399999999999991</v>
      </c>
      <c r="AW593" s="232">
        <f t="shared" si="287"/>
        <v>0.0399999999999991</v>
      </c>
      <c r="AX593" s="232">
        <f t="shared" si="288"/>
        <v>0.0399999999999991</v>
      </c>
      <c r="AY593" s="232">
        <f t="shared" si="289"/>
        <v>0.0399999999999991</v>
      </c>
      <c r="AZ593" s="232">
        <f t="shared" si="290"/>
        <v>0.04</v>
      </c>
    </row>
    <row r="594" spans="1:52">
      <c r="A594" s="269"/>
      <c r="C594" s="19">
        <v>471</v>
      </c>
      <c r="D594" s="86">
        <f ca="1" t="shared" si="314"/>
        <v>275.927278142543</v>
      </c>
      <c r="E594" s="251">
        <f ca="1" t="shared" si="291"/>
        <v>0.329451282800645</v>
      </c>
      <c r="F594" s="269">
        <f ca="1" t="shared" si="307"/>
        <v>553.422053881439</v>
      </c>
      <c r="G594" s="283">
        <f ca="1" t="shared" si="308"/>
        <v>182.325605581408</v>
      </c>
      <c r="H594" s="279">
        <f ca="1" t="shared" si="309"/>
        <v>0.154157031296222</v>
      </c>
      <c r="I594" s="269">
        <f ca="1">SUM($J$125:J594)/SUM($H$125:H594)</f>
        <v>0.476615536737344</v>
      </c>
      <c r="J594" s="284">
        <f t="shared" si="315"/>
        <v>0.0525753496813337</v>
      </c>
      <c r="K594" s="19">
        <f t="shared" si="317"/>
        <v>48000</v>
      </c>
      <c r="L594" s="269">
        <f t="shared" si="310"/>
        <v>3.39999999999995</v>
      </c>
      <c r="M594" s="226">
        <f ca="1" t="shared" si="311"/>
        <v>616.703999999999</v>
      </c>
      <c r="N594" s="280">
        <f ca="1" t="shared" si="316"/>
        <v>0.101581681614903</v>
      </c>
      <c r="O594" s="226">
        <f t="shared" si="321"/>
        <v>211.2</v>
      </c>
      <c r="P594" s="19">
        <f ca="1" t="shared" si="285"/>
        <v>20.2</v>
      </c>
      <c r="Q594" s="226">
        <f ca="1" t="shared" si="320"/>
        <v>2.92</v>
      </c>
      <c r="R594" s="269">
        <f ca="1" t="shared" si="292"/>
        <v>0.948514539655533</v>
      </c>
      <c r="S594" s="266">
        <f ca="1" t="shared" si="293"/>
        <v>89.1080890868606</v>
      </c>
      <c r="T594" s="226">
        <f ca="1">(1+OFFSET('玩法产出(新)'!$C$18,MATCH(X594,'玩法产出(新)'!$B$19:$B$25,0),1)*(1-V594)+OFFSET('玩法产出(新)'!$C$18,1+MATCH(X594,'玩法产出(新)'!$B$19:$B$25,0),1)*(V594))^AA594*(1+OFFSET('玩法产出(新)'!$C$18,MATCH(X594,'玩法产出(新)'!$B$19:$B$25,0),3)*(1-V594)+OFFSET('玩法产出(新)'!$C$18,1+MATCH(X594,'玩法产出(新)'!$B$19:$B$25,0),3)*(V594))^AB594*(1+OFFSET('玩法产出(新)'!$C$18,MATCH(X594,'玩法产出(新)'!$B$19:$B$25,0),4)*(1-V594)+OFFSET('玩法产出(新)'!$C$18,1+MATCH(X594,'玩法产出(新)'!$B$19:$B$25,0),4)*(V594))^AC594*(1+OFFSET('玩法产出(新)'!$C$18,MATCH(X594,'玩法产出(新)'!$B$19:$B$25,0),5)*(1+V594)+OFFSET('玩法产出(新)'!$C$18,1+MATCH(X594,'玩法产出(新)'!$B$19:$B$25,5),1)*(V594))^AD594*(1+OFFSET('玩法产出(新)'!$C$18,MATCH(X594,'玩法产出(新)'!$B$19:$B$25,0),6)*(1+V594)+OFFSET('玩法产出(新)'!$C$18,1+MATCH(X594,'玩法产出(新)'!$B$19:$B$25,0),6)*(V594))^AE594</f>
        <v>415.271646387248</v>
      </c>
      <c r="U594" s="226">
        <f ca="1" t="shared" si="312"/>
        <v>0.175294251504409</v>
      </c>
      <c r="V594" s="226">
        <f ca="1">COUNTIF($X$124:$X594,X594)/(COUNTIF($X$124:$X$723,X594)+1)</f>
        <v>0.731958762886598</v>
      </c>
      <c r="W594" s="19">
        <v>30</v>
      </c>
      <c r="X594" s="19" t="s">
        <v>326</v>
      </c>
      <c r="Y594" s="19">
        <f t="shared" si="318"/>
        <v>48260</v>
      </c>
      <c r="Z594" s="19">
        <f ca="1" t="shared" si="294"/>
        <v>0</v>
      </c>
      <c r="AA594" s="282">
        <f ca="1" t="shared" si="295"/>
        <v>0</v>
      </c>
      <c r="AB594" s="282">
        <f ca="1" t="shared" si="296"/>
        <v>18</v>
      </c>
      <c r="AC594" s="282">
        <f ca="1" t="shared" si="297"/>
        <v>9.95085</v>
      </c>
      <c r="AD594" s="282">
        <f ca="1" t="shared" si="298"/>
        <v>2.4877125</v>
      </c>
      <c r="AE594" s="282">
        <f ca="1" t="shared" si="299"/>
        <v>0.621928125</v>
      </c>
      <c r="AF594" s="19" t="str">
        <f t="shared" si="300"/>
        <v>彩4</v>
      </c>
      <c r="AG594" s="19">
        <f>IFERROR(_xlfn.XLOOKUP(C594+1,[2]基因升级!$E$141:$E$500,[2]基因升级!$D$141:$D$500)-1,AG593)</f>
        <v>114</v>
      </c>
      <c r="AH594" s="19">
        <v>8</v>
      </c>
      <c r="AI594" s="19">
        <f t="shared" si="301"/>
        <v>10.5142500606751</v>
      </c>
      <c r="AJ594" s="19">
        <f t="shared" si="313"/>
        <v>0</v>
      </c>
      <c r="AK594" s="269">
        <v>2.0368</v>
      </c>
      <c r="AL594" s="287">
        <f t="shared" si="322"/>
        <v>20.4799999999997</v>
      </c>
      <c r="AM594" s="287">
        <f t="shared" si="323"/>
        <v>16.8799999999998</v>
      </c>
      <c r="AN594" s="287">
        <f t="shared" si="284"/>
        <v>13.2799999999999</v>
      </c>
      <c r="AO594" s="287">
        <f t="shared" si="319"/>
        <v>9.67999999999996</v>
      </c>
      <c r="AP594" s="287">
        <f t="shared" si="283"/>
        <v>6.08</v>
      </c>
      <c r="AQ594" s="19">
        <f t="shared" si="302"/>
        <v>3.9974198709865</v>
      </c>
      <c r="AR594" s="19">
        <f t="shared" si="303"/>
        <v>3.13327250223159</v>
      </c>
      <c r="AS594" s="19">
        <f t="shared" si="304"/>
        <v>2.45593329950046</v>
      </c>
      <c r="AT594" s="19">
        <f t="shared" si="305"/>
        <v>1.92501876785354</v>
      </c>
      <c r="AU594" s="19">
        <f t="shared" si="306"/>
        <v>1.5088753661763</v>
      </c>
      <c r="AV594" s="232">
        <f t="shared" si="286"/>
        <v>0.0399999999999991</v>
      </c>
      <c r="AW594" s="232">
        <f t="shared" si="287"/>
        <v>0.0399999999999991</v>
      </c>
      <c r="AX594" s="232">
        <f t="shared" si="288"/>
        <v>0.0399999999999991</v>
      </c>
      <c r="AY594" s="232">
        <f t="shared" si="289"/>
        <v>0.0399999999999991</v>
      </c>
      <c r="AZ594" s="232">
        <f t="shared" si="290"/>
        <v>0.04</v>
      </c>
    </row>
    <row r="595" spans="1:52">
      <c r="A595" s="269"/>
      <c r="C595" s="19">
        <v>472</v>
      </c>
      <c r="D595" s="86">
        <f ca="1" t="shared" si="314"/>
        <v>276.256088727581</v>
      </c>
      <c r="E595" s="251">
        <f ca="1" t="shared" si="291"/>
        <v>0.328810585037145</v>
      </c>
      <c r="F595" s="269">
        <f ca="1" t="shared" si="307"/>
        <v>554.966845373071</v>
      </c>
      <c r="G595" s="283">
        <f ca="1" t="shared" si="308"/>
        <v>182.478973103338</v>
      </c>
      <c r="H595" s="279">
        <f ca="1" t="shared" si="309"/>
        <v>0.153367521930335</v>
      </c>
      <c r="I595" s="269">
        <f ca="1">SUM($J$125:J595)/SUM($H$125:H595)</f>
        <v>0.476495996903733</v>
      </c>
      <c r="J595" s="284">
        <f t="shared" si="315"/>
        <v>0.0524792360367456</v>
      </c>
      <c r="K595" s="19">
        <f t="shared" si="317"/>
        <v>48100</v>
      </c>
      <c r="L595" s="269">
        <f t="shared" si="310"/>
        <v>3.40499999999995</v>
      </c>
      <c r="M595" s="226">
        <f ca="1" t="shared" si="311"/>
        <v>620.927999999999</v>
      </c>
      <c r="N595" s="280">
        <f ca="1" t="shared" si="316"/>
        <v>0.100888285893589</v>
      </c>
      <c r="O595" s="226">
        <f t="shared" si="321"/>
        <v>211.2</v>
      </c>
      <c r="P595" s="19">
        <f ca="1" t="shared" si="285"/>
        <v>20.4</v>
      </c>
      <c r="Q595" s="226">
        <f ca="1" t="shared" si="320"/>
        <v>2.94</v>
      </c>
      <c r="R595" s="269">
        <f ca="1" t="shared" si="292"/>
        <v>0.950382050203047</v>
      </c>
      <c r="S595" s="266">
        <f ca="1" t="shared" si="293"/>
        <v>89.2835321499674</v>
      </c>
      <c r="T595" s="226">
        <f ca="1">(1+OFFSET('玩法产出(新)'!$C$18,MATCH(X595,'玩法产出(新)'!$B$19:$B$25,0),1)*(1-V595)+OFFSET('玩法产出(新)'!$C$18,1+MATCH(X595,'玩法产出(新)'!$B$19:$B$25,0),1)*(V595))^AA595*(1+OFFSET('玩法产出(新)'!$C$18,MATCH(X595,'玩法产出(新)'!$B$19:$B$25,0),3)*(1-V595)+OFFSET('玩法产出(新)'!$C$18,1+MATCH(X595,'玩法产出(新)'!$B$19:$B$25,0),3)*(V595))^AB595*(1+OFFSET('玩法产出(新)'!$C$18,MATCH(X595,'玩法产出(新)'!$B$19:$B$25,0),4)*(1-V595)+OFFSET('玩法产出(新)'!$C$18,1+MATCH(X595,'玩法产出(新)'!$B$19:$B$25,0),4)*(V595))^AC595*(1+OFFSET('玩法产出(新)'!$C$18,MATCH(X595,'玩法产出(新)'!$B$19:$B$25,0),5)*(1+V595)+OFFSET('玩法产出(新)'!$C$18,1+MATCH(X595,'玩法产出(新)'!$B$19:$B$25,5),1)*(V595))^AD595*(1+OFFSET('玩法产出(新)'!$C$18,MATCH(X595,'玩法产出(新)'!$B$19:$B$25,0),6)*(1+V595)+OFFSET('玩法产出(新)'!$C$18,1+MATCH(X595,'玩法产出(新)'!$B$19:$B$25,0),6)*(V595))^AE595</f>
        <v>420.230393250893</v>
      </c>
      <c r="U595" s="226">
        <f ca="1" t="shared" si="312"/>
        <v>0.17544306310681</v>
      </c>
      <c r="V595" s="226">
        <f ca="1">COUNTIF($X$124:$X595,X595)/(COUNTIF($X$124:$X$723,X595)+1)</f>
        <v>0.734020618556701</v>
      </c>
      <c r="W595" s="19">
        <v>30</v>
      </c>
      <c r="X595" s="19" t="s">
        <v>326</v>
      </c>
      <c r="Y595" s="19">
        <f t="shared" si="318"/>
        <v>48360</v>
      </c>
      <c r="Z595" s="19">
        <f ca="1" t="shared" si="294"/>
        <v>0</v>
      </c>
      <c r="AA595" s="282">
        <f ca="1" t="shared" si="295"/>
        <v>0</v>
      </c>
      <c r="AB595" s="282">
        <f ca="1" t="shared" si="296"/>
        <v>18</v>
      </c>
      <c r="AC595" s="282">
        <f ca="1" t="shared" si="297"/>
        <v>9.9717</v>
      </c>
      <c r="AD595" s="282">
        <f ca="1" t="shared" si="298"/>
        <v>2.492925</v>
      </c>
      <c r="AE595" s="282">
        <f ca="1" t="shared" si="299"/>
        <v>0.62323125</v>
      </c>
      <c r="AF595" s="19" t="str">
        <f t="shared" si="300"/>
        <v>彩4</v>
      </c>
      <c r="AG595" s="19">
        <f>IFERROR(_xlfn.XLOOKUP(C595+1,[2]基因升级!$E$141:$E$500,[2]基因升级!$D$141:$D$500)-1,AG594)</f>
        <v>114</v>
      </c>
      <c r="AH595" s="19">
        <v>8</v>
      </c>
      <c r="AI595" s="19">
        <f t="shared" si="301"/>
        <v>10.5142500606751</v>
      </c>
      <c r="AJ595" s="19">
        <f t="shared" si="313"/>
        <v>0</v>
      </c>
      <c r="AK595" s="269">
        <v>2.0368</v>
      </c>
      <c r="AL595" s="287">
        <f t="shared" si="322"/>
        <v>20.5199999999997</v>
      </c>
      <c r="AM595" s="287">
        <f t="shared" si="323"/>
        <v>16.9199999999998</v>
      </c>
      <c r="AN595" s="287">
        <f t="shared" si="284"/>
        <v>13.3199999999999</v>
      </c>
      <c r="AO595" s="287">
        <f t="shared" si="319"/>
        <v>9.71999999999996</v>
      </c>
      <c r="AP595" s="287">
        <f t="shared" si="283"/>
        <v>6.12</v>
      </c>
      <c r="AQ595" s="19">
        <f t="shared" si="302"/>
        <v>4.00825292440365</v>
      </c>
      <c r="AR595" s="19">
        <f t="shared" si="303"/>
        <v>3.14176370642895</v>
      </c>
      <c r="AS595" s="19">
        <f t="shared" si="304"/>
        <v>2.4625889067374</v>
      </c>
      <c r="AT595" s="19">
        <f t="shared" si="305"/>
        <v>1.93023559065779</v>
      </c>
      <c r="AU595" s="19">
        <f t="shared" si="306"/>
        <v>1.51296443561838</v>
      </c>
      <c r="AV595" s="232">
        <f t="shared" si="286"/>
        <v>0.0399999999999991</v>
      </c>
      <c r="AW595" s="232">
        <f t="shared" si="287"/>
        <v>0.0399999999999991</v>
      </c>
      <c r="AX595" s="232">
        <f t="shared" si="288"/>
        <v>0.0399999999999991</v>
      </c>
      <c r="AY595" s="232">
        <f t="shared" si="289"/>
        <v>0.0399999999999991</v>
      </c>
      <c r="AZ595" s="232">
        <f t="shared" si="290"/>
        <v>0.04</v>
      </c>
    </row>
    <row r="596" spans="1:52">
      <c r="A596" s="269"/>
      <c r="C596" s="19">
        <v>473</v>
      </c>
      <c r="D596" s="86">
        <f ca="1" t="shared" si="314"/>
        <v>276.584268307769</v>
      </c>
      <c r="E596" s="251">
        <f ca="1" t="shared" si="291"/>
        <v>0.328179580188259</v>
      </c>
      <c r="F596" s="269">
        <f ca="1" t="shared" si="307"/>
        <v>556.498855819988</v>
      </c>
      <c r="G596" s="283">
        <f ca="1" t="shared" si="308"/>
        <v>182.63156087825</v>
      </c>
      <c r="H596" s="279">
        <f ca="1" t="shared" si="309"/>
        <v>0.152587774911922</v>
      </c>
      <c r="I596" s="269">
        <f ca="1">SUM($J$125:J596)/SUM($H$125:H596)</f>
        <v>0.47637826651212</v>
      </c>
      <c r="J596" s="284">
        <f t="shared" si="315"/>
        <v>0.0523834826550029</v>
      </c>
      <c r="K596" s="19">
        <f t="shared" si="317"/>
        <v>48200</v>
      </c>
      <c r="L596" s="269">
        <f t="shared" si="310"/>
        <v>3.40999999999995</v>
      </c>
      <c r="M596" s="226">
        <f ca="1" t="shared" si="311"/>
        <v>625.151999999999</v>
      </c>
      <c r="N596" s="280">
        <f ca="1" t="shared" si="316"/>
        <v>0.100204292256933</v>
      </c>
      <c r="O596" s="226">
        <f t="shared" si="321"/>
        <v>211.2</v>
      </c>
      <c r="P596" s="19">
        <f ca="1" t="shared" si="285"/>
        <v>20.6</v>
      </c>
      <c r="Q596" s="226">
        <f ca="1" t="shared" si="320"/>
        <v>2.96</v>
      </c>
      <c r="R596" s="269">
        <f ca="1" t="shared" si="292"/>
        <v>0.952251144042402</v>
      </c>
      <c r="S596" s="266">
        <f ca="1" t="shared" si="293"/>
        <v>89.4591239552437</v>
      </c>
      <c r="T596" s="226">
        <f ca="1">(1+OFFSET('玩法产出(新)'!$C$18,MATCH(X596,'玩法产出(新)'!$B$19:$B$25,0),1)*(1-V596)+OFFSET('玩法产出(新)'!$C$18,1+MATCH(X596,'玩法产出(新)'!$B$19:$B$25,0),1)*(V596))^AA596*(1+OFFSET('玩法产出(新)'!$C$18,MATCH(X596,'玩法产出(新)'!$B$19:$B$25,0),3)*(1-V596)+OFFSET('玩法产出(新)'!$C$18,1+MATCH(X596,'玩法产出(新)'!$B$19:$B$25,0),3)*(V596))^AB596*(1+OFFSET('玩法产出(新)'!$C$18,MATCH(X596,'玩法产出(新)'!$B$19:$B$25,0),4)*(1-V596)+OFFSET('玩法产出(新)'!$C$18,1+MATCH(X596,'玩法产出(新)'!$B$19:$B$25,0),4)*(V596))^AC596*(1+OFFSET('玩法产出(新)'!$C$18,MATCH(X596,'玩法产出(新)'!$B$19:$B$25,0),5)*(1+V596)+OFFSET('玩法产出(新)'!$C$18,1+MATCH(X596,'玩法产出(新)'!$B$19:$B$25,5),1)*(V596))^AD596*(1+OFFSET('玩法产出(新)'!$C$18,MATCH(X596,'玩法产出(新)'!$B$19:$B$25,0),6)*(1+V596)+OFFSET('玩法产出(新)'!$C$18,1+MATCH(X596,'玩法产出(新)'!$B$19:$B$25,0),6)*(V596))^AE596</f>
        <v>425.252631960042</v>
      </c>
      <c r="U596" s="226">
        <f ca="1" t="shared" si="312"/>
        <v>0.175591805276323</v>
      </c>
      <c r="V596" s="226">
        <f ca="1">COUNTIF($X$124:$X596,X596)/(COUNTIF($X$124:$X$723,X596)+1)</f>
        <v>0.736082474226804</v>
      </c>
      <c r="W596" s="19">
        <v>30</v>
      </c>
      <c r="X596" s="19" t="s">
        <v>326</v>
      </c>
      <c r="Y596" s="19">
        <f t="shared" si="318"/>
        <v>48460</v>
      </c>
      <c r="Z596" s="19">
        <f ca="1" t="shared" si="294"/>
        <v>0</v>
      </c>
      <c r="AA596" s="282">
        <f ca="1" t="shared" si="295"/>
        <v>0</v>
      </c>
      <c r="AB596" s="282">
        <f ca="1" t="shared" si="296"/>
        <v>18</v>
      </c>
      <c r="AC596" s="282">
        <f ca="1" t="shared" si="297"/>
        <v>9.99255</v>
      </c>
      <c r="AD596" s="282">
        <f ca="1" t="shared" si="298"/>
        <v>2.4981375</v>
      </c>
      <c r="AE596" s="282">
        <f ca="1" t="shared" si="299"/>
        <v>0.624534375</v>
      </c>
      <c r="AF596" s="19" t="str">
        <f t="shared" si="300"/>
        <v>彩4</v>
      </c>
      <c r="AG596" s="19">
        <f>IFERROR(_xlfn.XLOOKUP(C596+1,[2]基因升级!$E$141:$E$500,[2]基因升级!$D$141:$D$500)-1,AG595)</f>
        <v>114</v>
      </c>
      <c r="AH596" s="19">
        <v>8</v>
      </c>
      <c r="AI596" s="19">
        <f t="shared" si="301"/>
        <v>10.5142500606751</v>
      </c>
      <c r="AJ596" s="19">
        <f t="shared" si="313"/>
        <v>0</v>
      </c>
      <c r="AK596" s="269">
        <v>2.0368</v>
      </c>
      <c r="AL596" s="287">
        <f t="shared" si="322"/>
        <v>20.5599999999997</v>
      </c>
      <c r="AM596" s="287">
        <f t="shared" si="323"/>
        <v>16.9599999999998</v>
      </c>
      <c r="AN596" s="287">
        <f t="shared" si="284"/>
        <v>13.3599999999999</v>
      </c>
      <c r="AO596" s="287">
        <f t="shared" si="319"/>
        <v>9.75999999999996</v>
      </c>
      <c r="AP596" s="287">
        <f t="shared" si="283"/>
        <v>6.16</v>
      </c>
      <c r="AQ596" s="19">
        <f t="shared" si="302"/>
        <v>4.01911533551903</v>
      </c>
      <c r="AR596" s="19">
        <f t="shared" si="303"/>
        <v>3.15027792188648</v>
      </c>
      <c r="AS596" s="19">
        <f t="shared" si="304"/>
        <v>2.46926255074582</v>
      </c>
      <c r="AT596" s="19">
        <f t="shared" si="305"/>
        <v>1.93546655111132</v>
      </c>
      <c r="AU596" s="19">
        <f t="shared" si="306"/>
        <v>1.51706458648526</v>
      </c>
      <c r="AV596" s="232">
        <f t="shared" si="286"/>
        <v>0.0399999999999991</v>
      </c>
      <c r="AW596" s="232">
        <f t="shared" si="287"/>
        <v>0.0399999999999991</v>
      </c>
      <c r="AX596" s="232">
        <f t="shared" si="288"/>
        <v>0.0399999999999991</v>
      </c>
      <c r="AY596" s="232">
        <f t="shared" si="289"/>
        <v>0.0399999999999991</v>
      </c>
      <c r="AZ596" s="232">
        <f t="shared" si="290"/>
        <v>0.04</v>
      </c>
    </row>
    <row r="597" spans="1:52">
      <c r="A597" s="269"/>
      <c r="C597" s="19">
        <v>474</v>
      </c>
      <c r="D597" s="86">
        <f ca="1" t="shared" si="314"/>
        <v>276.911826384089</v>
      </c>
      <c r="E597" s="251">
        <f ca="1" t="shared" si="291"/>
        <v>0.327558076320467</v>
      </c>
      <c r="F597" s="269">
        <f ca="1" t="shared" si="307"/>
        <v>558.018231544538</v>
      </c>
      <c r="G597" s="283">
        <f ca="1" t="shared" si="308"/>
        <v>182.783378476478</v>
      </c>
      <c r="H597" s="279">
        <f ca="1" t="shared" si="309"/>
        <v>0.151817598227979</v>
      </c>
      <c r="I597" s="269">
        <f ca="1">SUM($J$125:J597)/SUM($H$125:H597)</f>
        <v>0.476262314868047</v>
      </c>
      <c r="J597" s="284">
        <f t="shared" si="315"/>
        <v>0.0522880874670335</v>
      </c>
      <c r="K597" s="19">
        <f t="shared" si="317"/>
        <v>48300</v>
      </c>
      <c r="L597" s="269">
        <f t="shared" si="310"/>
        <v>3.41499999999995</v>
      </c>
      <c r="M597" s="226">
        <f ca="1" t="shared" si="311"/>
        <v>629.375999999999</v>
      </c>
      <c r="N597" s="280">
        <f ca="1" t="shared" si="316"/>
        <v>0.0995295107609167</v>
      </c>
      <c r="O597" s="226">
        <f t="shared" si="321"/>
        <v>211.2</v>
      </c>
      <c r="P597" s="19">
        <f ca="1" t="shared" si="285"/>
        <v>20.8</v>
      </c>
      <c r="Q597" s="226">
        <f ca="1" t="shared" si="320"/>
        <v>2.98</v>
      </c>
      <c r="R597" s="269">
        <f ca="1" t="shared" si="292"/>
        <v>0.954121820435364</v>
      </c>
      <c r="S597" s="266">
        <f ca="1" t="shared" si="293"/>
        <v>89.6348644333362</v>
      </c>
      <c r="T597" s="226">
        <f ca="1">(1+OFFSET('玩法产出(新)'!$C$18,MATCH(X597,'玩法产出(新)'!$B$19:$B$25,0),1)*(1-V597)+OFFSET('玩法产出(新)'!$C$18,1+MATCH(X597,'玩法产出(新)'!$B$19:$B$25,0),1)*(V597))^AA597*(1+OFFSET('玩法产出(新)'!$C$18,MATCH(X597,'玩法产出(新)'!$B$19:$B$25,0),3)*(1-V597)+OFFSET('玩法产出(新)'!$C$18,1+MATCH(X597,'玩法产出(新)'!$B$19:$B$25,0),3)*(V597))^AB597*(1+OFFSET('玩法产出(新)'!$C$18,MATCH(X597,'玩法产出(新)'!$B$19:$B$25,0),4)*(1-V597)+OFFSET('玩法产出(新)'!$C$18,1+MATCH(X597,'玩法产出(新)'!$B$19:$B$25,0),4)*(V597))^AC597*(1+OFFSET('玩法产出(新)'!$C$18,MATCH(X597,'玩法产出(新)'!$B$19:$B$25,0),5)*(1+V597)+OFFSET('玩法产出(新)'!$C$18,1+MATCH(X597,'玩法产出(新)'!$B$19:$B$25,5),1)*(V597))^AD597*(1+OFFSET('玩法产出(新)'!$C$18,MATCH(X597,'玩法产出(新)'!$B$19:$B$25,0),6)*(1+V597)+OFFSET('玩法产出(新)'!$C$18,1+MATCH(X597,'玩法产出(新)'!$B$19:$B$25,0),6)*(V597))^AE597</f>
        <v>430.339220985398</v>
      </c>
      <c r="U597" s="226">
        <f ca="1" t="shared" si="312"/>
        <v>0.175740478092517</v>
      </c>
      <c r="V597" s="226">
        <f ca="1">COUNTIF($X$124:$X597,X597)/(COUNTIF($X$124:$X$723,X597)+1)</f>
        <v>0.738144329896907</v>
      </c>
      <c r="W597" s="19">
        <v>30</v>
      </c>
      <c r="X597" s="19" t="s">
        <v>326</v>
      </c>
      <c r="Y597" s="19">
        <f t="shared" si="318"/>
        <v>48560</v>
      </c>
      <c r="Z597" s="19">
        <f ca="1" t="shared" si="294"/>
        <v>0</v>
      </c>
      <c r="AA597" s="282">
        <f ca="1" t="shared" si="295"/>
        <v>0</v>
      </c>
      <c r="AB597" s="282">
        <f ca="1" t="shared" si="296"/>
        <v>18</v>
      </c>
      <c r="AC597" s="282">
        <f ca="1" t="shared" si="297"/>
        <v>10.0134</v>
      </c>
      <c r="AD597" s="282">
        <f ca="1" t="shared" si="298"/>
        <v>2.50335</v>
      </c>
      <c r="AE597" s="282">
        <f ca="1" t="shared" si="299"/>
        <v>0.6258375</v>
      </c>
      <c r="AF597" s="19" t="str">
        <f t="shared" si="300"/>
        <v>彩4</v>
      </c>
      <c r="AG597" s="19">
        <f>IFERROR(_xlfn.XLOOKUP(C597+1,[2]基因升级!$E$141:$E$500,[2]基因升级!$D$141:$D$500)-1,AG596)</f>
        <v>114</v>
      </c>
      <c r="AH597" s="19">
        <v>8</v>
      </c>
      <c r="AI597" s="19">
        <f t="shared" si="301"/>
        <v>10.5142500606751</v>
      </c>
      <c r="AJ597" s="19">
        <f t="shared" si="313"/>
        <v>0</v>
      </c>
      <c r="AK597" s="269">
        <v>2.0368</v>
      </c>
      <c r="AL597" s="287">
        <f t="shared" si="322"/>
        <v>20.5999999999997</v>
      </c>
      <c r="AM597" s="287">
        <f t="shared" si="323"/>
        <v>16.9999999999998</v>
      </c>
      <c r="AN597" s="287">
        <f t="shared" si="284"/>
        <v>13.3999999999999</v>
      </c>
      <c r="AO597" s="287">
        <f t="shared" si="319"/>
        <v>9.79999999999996</v>
      </c>
      <c r="AP597" s="287">
        <f t="shared" si="283"/>
        <v>6.2</v>
      </c>
      <c r="AQ597" s="19">
        <f t="shared" si="302"/>
        <v>4.03000718389237</v>
      </c>
      <c r="AR597" s="19">
        <f t="shared" si="303"/>
        <v>3.15881521096495</v>
      </c>
      <c r="AS597" s="19">
        <f t="shared" si="304"/>
        <v>2.47595428040558</v>
      </c>
      <c r="AT597" s="19">
        <f t="shared" si="305"/>
        <v>1.9407116875273</v>
      </c>
      <c r="AU597" s="19">
        <f t="shared" si="306"/>
        <v>1.52117584880772</v>
      </c>
      <c r="AV597" s="232">
        <f t="shared" si="286"/>
        <v>0.0399999999999991</v>
      </c>
      <c r="AW597" s="232">
        <f t="shared" si="287"/>
        <v>0.0399999999999991</v>
      </c>
      <c r="AX597" s="232">
        <f t="shared" si="288"/>
        <v>0.0399999999999991</v>
      </c>
      <c r="AY597" s="232">
        <f t="shared" si="289"/>
        <v>0.0399999999999991</v>
      </c>
      <c r="AZ597" s="232">
        <f t="shared" si="290"/>
        <v>0.04</v>
      </c>
    </row>
    <row r="598" spans="1:52">
      <c r="A598" s="269"/>
      <c r="C598" s="19">
        <v>475</v>
      </c>
      <c r="D598" s="86">
        <f ca="1" t="shared" si="314"/>
        <v>277.238772270687</v>
      </c>
      <c r="E598" s="251">
        <f ca="1" t="shared" si="291"/>
        <v>0.326945886598187</v>
      </c>
      <c r="F598" s="269">
        <f ca="1" t="shared" si="307"/>
        <v>559.525116479798</v>
      </c>
      <c r="G598" s="283">
        <f ca="1" t="shared" si="308"/>
        <v>182.934435281442</v>
      </c>
      <c r="H598" s="279">
        <f ca="1" t="shared" si="309"/>
        <v>0.151056804963673</v>
      </c>
      <c r="I598" s="269">
        <f ca="1">SUM($J$125:J598)/SUM($H$125:H598)</f>
        <v>0.476148111961284</v>
      </c>
      <c r="J598" s="284">
        <f t="shared" si="315"/>
        <v>0.0521930484199089</v>
      </c>
      <c r="K598" s="19">
        <f t="shared" si="317"/>
        <v>48400</v>
      </c>
      <c r="L598" s="269">
        <f t="shared" si="310"/>
        <v>3.41999999999995</v>
      </c>
      <c r="M598" s="226">
        <f ca="1" t="shared" si="311"/>
        <v>633.599999999999</v>
      </c>
      <c r="N598" s="280">
        <f ca="1" t="shared" si="316"/>
        <v>0.0988637565437926</v>
      </c>
      <c r="O598" s="226">
        <f t="shared" si="321"/>
        <v>211.2</v>
      </c>
      <c r="P598" s="19">
        <f ca="1" t="shared" si="285"/>
        <v>21</v>
      </c>
      <c r="Q598" s="226">
        <f ca="1" t="shared" si="320"/>
        <v>3</v>
      </c>
      <c r="R598" s="269">
        <f ca="1" t="shared" si="292"/>
        <v>0.955994078644541</v>
      </c>
      <c r="S598" s="266">
        <f ca="1" t="shared" si="293"/>
        <v>89.8107535149707</v>
      </c>
      <c r="T598" s="226">
        <f ca="1">(1+OFFSET('玩法产出(新)'!$C$18,MATCH(X598,'玩法产出(新)'!$B$19:$B$25,0),1)*(1-V598)+OFFSET('玩法产出(新)'!$C$18,1+MATCH(X598,'玩法产出(新)'!$B$19:$B$25,0),1)*(V598))^AA598*(1+OFFSET('玩法产出(新)'!$C$18,MATCH(X598,'玩法产出(新)'!$B$19:$B$25,0),3)*(1-V598)+OFFSET('玩法产出(新)'!$C$18,1+MATCH(X598,'玩法产出(新)'!$B$19:$B$25,0),3)*(V598))^AB598*(1+OFFSET('玩法产出(新)'!$C$18,MATCH(X598,'玩法产出(新)'!$B$19:$B$25,0),4)*(1-V598)+OFFSET('玩法产出(新)'!$C$18,1+MATCH(X598,'玩法产出(新)'!$B$19:$B$25,0),4)*(V598))^AC598*(1+OFFSET('玩法产出(新)'!$C$18,MATCH(X598,'玩法产出(新)'!$B$19:$B$25,0),5)*(1+V598)+OFFSET('玩法产出(新)'!$C$18,1+MATCH(X598,'玩法产出(新)'!$B$19:$B$25,5),1)*(V598))^AD598*(1+OFFSET('玩法产出(新)'!$C$18,MATCH(X598,'玩法产出(新)'!$B$19:$B$25,0),6)*(1+V598)+OFFSET('玩法产出(新)'!$C$18,1+MATCH(X598,'玩法产出(新)'!$B$19:$B$25,0),6)*(V598))^AE598</f>
        <v>435.491030946029</v>
      </c>
      <c r="U598" s="226">
        <f ca="1" t="shared" si="312"/>
        <v>0.175889081634486</v>
      </c>
      <c r="V598" s="226">
        <f ca="1">COUNTIF($X$124:$X598,X598)/(COUNTIF($X$124:$X$723,X598)+1)</f>
        <v>0.74020618556701</v>
      </c>
      <c r="W598" s="19">
        <v>30</v>
      </c>
      <c r="X598" s="19" t="s">
        <v>326</v>
      </c>
      <c r="Y598" s="19">
        <f t="shared" si="318"/>
        <v>48660</v>
      </c>
      <c r="Z598" s="19">
        <f ca="1" t="shared" si="294"/>
        <v>0</v>
      </c>
      <c r="AA598" s="282">
        <f ca="1" t="shared" si="295"/>
        <v>0</v>
      </c>
      <c r="AB598" s="282">
        <f ca="1" t="shared" si="296"/>
        <v>18</v>
      </c>
      <c r="AC598" s="282">
        <f ca="1" t="shared" si="297"/>
        <v>10.03425</v>
      </c>
      <c r="AD598" s="282">
        <f ca="1" t="shared" si="298"/>
        <v>2.5085625</v>
      </c>
      <c r="AE598" s="282">
        <f ca="1" t="shared" si="299"/>
        <v>0.627140625</v>
      </c>
      <c r="AF598" s="19" t="str">
        <f t="shared" si="300"/>
        <v>彩4</v>
      </c>
      <c r="AG598" s="19">
        <f>IFERROR(_xlfn.XLOOKUP(C598+1,[2]基因升级!$E$141:$E$500,[2]基因升级!$D$141:$D$500)-1,AG597)</f>
        <v>114</v>
      </c>
      <c r="AH598" s="19">
        <v>8</v>
      </c>
      <c r="AI598" s="19">
        <f t="shared" si="301"/>
        <v>10.5142500606751</v>
      </c>
      <c r="AJ598" s="19">
        <f t="shared" si="313"/>
        <v>0</v>
      </c>
      <c r="AK598" s="269">
        <v>2.0368</v>
      </c>
      <c r="AL598" s="287">
        <f t="shared" si="322"/>
        <v>20.6399999999997</v>
      </c>
      <c r="AM598" s="287">
        <f t="shared" si="323"/>
        <v>17.0399999999998</v>
      </c>
      <c r="AN598" s="287">
        <f t="shared" si="284"/>
        <v>13.4399999999999</v>
      </c>
      <c r="AO598" s="287">
        <f t="shared" si="319"/>
        <v>9.83999999999996</v>
      </c>
      <c r="AP598" s="287">
        <f t="shared" si="283"/>
        <v>6.24</v>
      </c>
      <c r="AQ598" s="19">
        <f t="shared" si="302"/>
        <v>4.04092854929895</v>
      </c>
      <c r="AR598" s="19">
        <f t="shared" si="303"/>
        <v>3.16737563619414</v>
      </c>
      <c r="AS598" s="19">
        <f t="shared" si="304"/>
        <v>2.48266414472899</v>
      </c>
      <c r="AT598" s="19">
        <f t="shared" si="305"/>
        <v>1.94597103832276</v>
      </c>
      <c r="AU598" s="19">
        <f t="shared" si="306"/>
        <v>1.52529825269794</v>
      </c>
      <c r="AV598" s="232">
        <f t="shared" si="286"/>
        <v>0.0399999999999991</v>
      </c>
      <c r="AW598" s="232">
        <f t="shared" si="287"/>
        <v>0.0399999999999991</v>
      </c>
      <c r="AX598" s="232">
        <f t="shared" si="288"/>
        <v>0.0399999999999991</v>
      </c>
      <c r="AY598" s="232">
        <f t="shared" si="289"/>
        <v>0.0399999999999991</v>
      </c>
      <c r="AZ598" s="232">
        <f t="shared" si="290"/>
        <v>0.04</v>
      </c>
    </row>
    <row r="599" spans="1:52">
      <c r="A599" s="269"/>
      <c r="C599" s="19">
        <v>476</v>
      </c>
      <c r="D599" s="86">
        <f ca="1" t="shared" si="314"/>
        <v>277.565115099803</v>
      </c>
      <c r="E599" s="251">
        <f ca="1" t="shared" si="291"/>
        <v>0.326342829115441</v>
      </c>
      <c r="F599" s="269">
        <f ca="1" t="shared" si="307"/>
        <v>561.019652219203</v>
      </c>
      <c r="G599" s="283">
        <f ca="1" t="shared" si="308"/>
        <v>183.084740494575</v>
      </c>
      <c r="H599" s="279">
        <f ca="1" t="shared" si="309"/>
        <v>0.15030521313372</v>
      </c>
      <c r="I599" s="269">
        <f ca="1">SUM($J$125:J599)/SUM($H$125:H599)</f>
        <v>0.47603562844645</v>
      </c>
      <c r="J599" s="284">
        <f t="shared" si="315"/>
        <v>0.052098363476631</v>
      </c>
      <c r="K599" s="19">
        <f t="shared" si="317"/>
        <v>48500</v>
      </c>
      <c r="L599" s="269">
        <f t="shared" si="310"/>
        <v>3.42499999999995</v>
      </c>
      <c r="M599" s="226">
        <f ca="1" t="shared" si="311"/>
        <v>637.823999999999</v>
      </c>
      <c r="N599" s="280">
        <f ca="1" t="shared" si="316"/>
        <v>0.0982068496570605</v>
      </c>
      <c r="O599" s="226">
        <f t="shared" si="321"/>
        <v>211.2</v>
      </c>
      <c r="P599" s="19">
        <f ca="1" t="shared" si="285"/>
        <v>21.2</v>
      </c>
      <c r="Q599" s="226">
        <f ca="1" t="shared" si="320"/>
        <v>3.02</v>
      </c>
      <c r="R599" s="269">
        <f ca="1" t="shared" si="292"/>
        <v>0.957867917933388</v>
      </c>
      <c r="S599" s="266">
        <f ca="1" t="shared" si="293"/>
        <v>89.9867911309525</v>
      </c>
      <c r="T599" s="226">
        <f ca="1">(1+OFFSET('玩法产出(新)'!$C$18,MATCH(X599,'玩法产出(新)'!$B$19:$B$25,0),1)*(1-V599)+OFFSET('玩法产出(新)'!$C$18,1+MATCH(X599,'玩法产出(新)'!$B$19:$B$25,0),1)*(V599))^AA599*(1+OFFSET('玩法产出(新)'!$C$18,MATCH(X599,'玩法产出(新)'!$B$19:$B$25,0),3)*(1-V599)+OFFSET('玩法产出(新)'!$C$18,1+MATCH(X599,'玩法产出(新)'!$B$19:$B$25,0),3)*(V599))^AB599*(1+OFFSET('玩法产出(新)'!$C$18,MATCH(X599,'玩法产出(新)'!$B$19:$B$25,0),4)*(1-V599)+OFFSET('玩法产出(新)'!$C$18,1+MATCH(X599,'玩法产出(新)'!$B$19:$B$25,0),4)*(V599))^AC599*(1+OFFSET('玩法产出(新)'!$C$18,MATCH(X599,'玩法产出(新)'!$B$19:$B$25,0),5)*(1+V599)+OFFSET('玩法产出(新)'!$C$18,1+MATCH(X599,'玩法产出(新)'!$B$19:$B$25,5),1)*(V599))^AD599*(1+OFFSET('玩法产出(新)'!$C$18,MATCH(X599,'玩法产出(新)'!$B$19:$B$25,0),6)*(1+V599)+OFFSET('玩法产出(新)'!$C$18,1+MATCH(X599,'玩法产出(新)'!$B$19:$B$25,0),6)*(V599))^AE599</f>
        <v>440.708944788192</v>
      </c>
      <c r="U599" s="226">
        <f ca="1" t="shared" si="312"/>
        <v>0.176037615981749</v>
      </c>
      <c r="V599" s="226">
        <f ca="1">COUNTIF($X$124:$X599,X599)/(COUNTIF($X$124:$X$723,X599)+1)</f>
        <v>0.742268041237113</v>
      </c>
      <c r="W599" s="19">
        <v>30</v>
      </c>
      <c r="X599" s="19" t="s">
        <v>326</v>
      </c>
      <c r="Y599" s="19">
        <f t="shared" si="318"/>
        <v>48760</v>
      </c>
      <c r="Z599" s="19">
        <f ca="1" t="shared" si="294"/>
        <v>0</v>
      </c>
      <c r="AA599" s="282">
        <f ca="1" t="shared" si="295"/>
        <v>0</v>
      </c>
      <c r="AB599" s="282">
        <f ca="1" t="shared" si="296"/>
        <v>18</v>
      </c>
      <c r="AC599" s="282">
        <f ca="1" t="shared" si="297"/>
        <v>10.0551</v>
      </c>
      <c r="AD599" s="282">
        <f ca="1" t="shared" si="298"/>
        <v>2.513775</v>
      </c>
      <c r="AE599" s="282">
        <f ca="1" t="shared" si="299"/>
        <v>0.62844375</v>
      </c>
      <c r="AF599" s="19" t="str">
        <f t="shared" si="300"/>
        <v>彩4</v>
      </c>
      <c r="AG599" s="19">
        <f>IFERROR(_xlfn.XLOOKUP(C599+1,[2]基因升级!$E$141:$E$500,[2]基因升级!$D$141:$D$500)-1,AG598)</f>
        <v>114</v>
      </c>
      <c r="AH599" s="19">
        <v>8</v>
      </c>
      <c r="AI599" s="19">
        <f t="shared" si="301"/>
        <v>10.5142500606751</v>
      </c>
      <c r="AJ599" s="19">
        <f t="shared" si="313"/>
        <v>0</v>
      </c>
      <c r="AK599" s="269">
        <v>2.0368</v>
      </c>
      <c r="AL599" s="287">
        <f t="shared" si="322"/>
        <v>20.6799999999997</v>
      </c>
      <c r="AM599" s="287">
        <f t="shared" si="323"/>
        <v>17.0799999999998</v>
      </c>
      <c r="AN599" s="287">
        <f t="shared" si="284"/>
        <v>13.4799999999999</v>
      </c>
      <c r="AO599" s="287">
        <f t="shared" si="319"/>
        <v>9.87999999999996</v>
      </c>
      <c r="AP599" s="287">
        <f t="shared" si="283"/>
        <v>6.28</v>
      </c>
      <c r="AQ599" s="19">
        <f t="shared" si="302"/>
        <v>4.05187951173028</v>
      </c>
      <c r="AR599" s="19">
        <f t="shared" si="303"/>
        <v>3.17595926027328</v>
      </c>
      <c r="AS599" s="19">
        <f t="shared" si="304"/>
        <v>2.4893921928612</v>
      </c>
      <c r="AT599" s="19">
        <f t="shared" si="305"/>
        <v>1.95124464201883</v>
      </c>
      <c r="AU599" s="19">
        <f t="shared" si="306"/>
        <v>1.52943182834969</v>
      </c>
      <c r="AV599" s="232">
        <f t="shared" si="286"/>
        <v>0.0399999999999991</v>
      </c>
      <c r="AW599" s="232">
        <f t="shared" si="287"/>
        <v>0.0399999999999991</v>
      </c>
      <c r="AX599" s="232">
        <f t="shared" si="288"/>
        <v>0.0399999999999991</v>
      </c>
      <c r="AY599" s="232">
        <f t="shared" si="289"/>
        <v>0.0399999999999991</v>
      </c>
      <c r="AZ599" s="232">
        <f t="shared" si="290"/>
        <v>0.04</v>
      </c>
    </row>
    <row r="600" spans="1:52">
      <c r="A600" s="269"/>
      <c r="C600" s="19">
        <v>477</v>
      </c>
      <c r="D600" s="86">
        <f ca="1" t="shared" si="314"/>
        <v>277.890863826536</v>
      </c>
      <c r="E600" s="251">
        <f ca="1" t="shared" si="291"/>
        <v>0.325748726732695</v>
      </c>
      <c r="F600" s="269">
        <f ca="1" t="shared" si="307"/>
        <v>562.501978067452</v>
      </c>
      <c r="G600" s="283">
        <f ca="1" t="shared" si="308"/>
        <v>183.234303140095</v>
      </c>
      <c r="H600" s="279">
        <f ca="1" t="shared" si="309"/>
        <v>0.14956264551958</v>
      </c>
      <c r="I600" s="269">
        <f ca="1">SUM($J$125:J600)/SUM($H$125:H600)</f>
        <v>0.475924835624312</v>
      </c>
      <c r="J600" s="284">
        <f t="shared" si="315"/>
        <v>0.0520040306160183</v>
      </c>
      <c r="K600" s="19">
        <f t="shared" si="317"/>
        <v>48600</v>
      </c>
      <c r="L600" s="269">
        <f t="shared" si="310"/>
        <v>3.42999999999995</v>
      </c>
      <c r="M600" s="226">
        <f ca="1" t="shared" si="311"/>
        <v>642.047999999999</v>
      </c>
      <c r="N600" s="280">
        <f ca="1" t="shared" si="316"/>
        <v>0.0975586149035479</v>
      </c>
      <c r="O600" s="226">
        <f t="shared" si="321"/>
        <v>211.2</v>
      </c>
      <c r="P600" s="19">
        <f ca="1" t="shared" si="285"/>
        <v>21.4</v>
      </c>
      <c r="Q600" s="226">
        <f ca="1" t="shared" si="320"/>
        <v>3.04</v>
      </c>
      <c r="R600" s="269">
        <f ca="1" t="shared" si="292"/>
        <v>0.959743337566197</v>
      </c>
      <c r="S600" s="266">
        <f ca="1" t="shared" si="293"/>
        <v>90.1629772121656</v>
      </c>
      <c r="T600" s="226">
        <f ca="1">(1+OFFSET('玩法产出(新)'!$C$18,MATCH(X600,'玩法产出(新)'!$B$19:$B$25,0),1)*(1-V600)+OFFSET('玩法产出(新)'!$C$18,1+MATCH(X600,'玩法产出(新)'!$B$19:$B$25,0),1)*(V600))^AA600*(1+OFFSET('玩法产出(新)'!$C$18,MATCH(X600,'玩法产出(新)'!$B$19:$B$25,0),3)*(1-V600)+OFFSET('玩法产出(新)'!$C$18,1+MATCH(X600,'玩法产出(新)'!$B$19:$B$25,0),3)*(V600))^AB600*(1+OFFSET('玩法产出(新)'!$C$18,MATCH(X600,'玩法产出(新)'!$B$19:$B$25,0),4)*(1-V600)+OFFSET('玩法产出(新)'!$C$18,1+MATCH(X600,'玩法产出(新)'!$B$19:$B$25,0),4)*(V600))^AC600*(1+OFFSET('玩法产出(新)'!$C$18,MATCH(X600,'玩法产出(新)'!$B$19:$B$25,0),5)*(1+V600)+OFFSET('玩法产出(新)'!$C$18,1+MATCH(X600,'玩法产出(新)'!$B$19:$B$25,5),1)*(V600))^AD600*(1+OFFSET('玩法产出(新)'!$C$18,MATCH(X600,'玩法产出(新)'!$B$19:$B$25,0),6)*(1+V600)+OFFSET('玩法产出(新)'!$C$18,1+MATCH(X600,'玩法产出(新)'!$B$19:$B$25,0),6)*(V600))^AE600</f>
        <v>445.993857966864</v>
      </c>
      <c r="U600" s="226">
        <f ca="1" t="shared" si="312"/>
        <v>0.176186081213129</v>
      </c>
      <c r="V600" s="226">
        <f ca="1">COUNTIF($X$124:$X600,X600)/(COUNTIF($X$124:$X$723,X600)+1)</f>
        <v>0.744329896907217</v>
      </c>
      <c r="W600" s="19">
        <v>30</v>
      </c>
      <c r="X600" s="19" t="s">
        <v>326</v>
      </c>
      <c r="Y600" s="19">
        <f t="shared" si="318"/>
        <v>48860</v>
      </c>
      <c r="Z600" s="19">
        <f ca="1" t="shared" si="294"/>
        <v>0</v>
      </c>
      <c r="AA600" s="282">
        <f ca="1" t="shared" si="295"/>
        <v>0</v>
      </c>
      <c r="AB600" s="282">
        <f ca="1" t="shared" si="296"/>
        <v>18</v>
      </c>
      <c r="AC600" s="282">
        <f ca="1" t="shared" si="297"/>
        <v>10.07595</v>
      </c>
      <c r="AD600" s="282">
        <f ca="1" t="shared" si="298"/>
        <v>2.5189875</v>
      </c>
      <c r="AE600" s="282">
        <f ca="1" t="shared" si="299"/>
        <v>0.629746875</v>
      </c>
      <c r="AF600" s="19" t="str">
        <f t="shared" si="300"/>
        <v>彩4</v>
      </c>
      <c r="AG600" s="19">
        <f>IFERROR(_xlfn.XLOOKUP(C600+1,[2]基因升级!$E$141:$E$500,[2]基因升级!$D$141:$D$500)-1,AG599)</f>
        <v>114</v>
      </c>
      <c r="AH600" s="19">
        <v>8</v>
      </c>
      <c r="AI600" s="19">
        <f t="shared" si="301"/>
        <v>10.5142500606751</v>
      </c>
      <c r="AJ600" s="19">
        <f t="shared" si="313"/>
        <v>0</v>
      </c>
      <c r="AK600" s="269">
        <v>2.0368</v>
      </c>
      <c r="AL600" s="287">
        <f t="shared" si="322"/>
        <v>20.7199999999997</v>
      </c>
      <c r="AM600" s="287">
        <f t="shared" si="323"/>
        <v>17.1199999999998</v>
      </c>
      <c r="AN600" s="287">
        <f t="shared" si="284"/>
        <v>13.5199999999999</v>
      </c>
      <c r="AO600" s="287">
        <f t="shared" si="319"/>
        <v>9.91999999999996</v>
      </c>
      <c r="AP600" s="287">
        <f t="shared" si="283"/>
        <v>6.32</v>
      </c>
      <c r="AQ600" s="19">
        <f t="shared" si="302"/>
        <v>4.06286015139462</v>
      </c>
      <c r="AR600" s="19">
        <f t="shared" si="303"/>
        <v>3.18456614607153</v>
      </c>
      <c r="AS600" s="19">
        <f t="shared" si="304"/>
        <v>2.49613847408055</v>
      </c>
      <c r="AT600" s="19">
        <f t="shared" si="305"/>
        <v>1.95653253724102</v>
      </c>
      <c r="AU600" s="19">
        <f t="shared" si="306"/>
        <v>1.53357660603858</v>
      </c>
      <c r="AV600" s="232">
        <f t="shared" si="286"/>
        <v>0.0399999999999991</v>
      </c>
      <c r="AW600" s="232">
        <f t="shared" si="287"/>
        <v>0.0399999999999991</v>
      </c>
      <c r="AX600" s="232">
        <f t="shared" si="288"/>
        <v>0.0399999999999991</v>
      </c>
      <c r="AY600" s="232">
        <f t="shared" si="289"/>
        <v>0.0399999999999991</v>
      </c>
      <c r="AZ600" s="232">
        <f t="shared" si="290"/>
        <v>0.04</v>
      </c>
    </row>
    <row r="601" spans="1:52">
      <c r="A601" s="269"/>
      <c r="C601" s="19">
        <v>478</v>
      </c>
      <c r="D601" s="86">
        <f ca="1" t="shared" si="314"/>
        <v>278.216027233457</v>
      </c>
      <c r="E601" s="251">
        <f ca="1" t="shared" si="291"/>
        <v>0.325163406921377</v>
      </c>
      <c r="F601" s="269">
        <f ca="1" t="shared" si="307"/>
        <v>563.972231087953</v>
      </c>
      <c r="G601" s="283">
        <f ca="1" t="shared" si="308"/>
        <v>183.383132069609</v>
      </c>
      <c r="H601" s="279">
        <f ca="1" t="shared" si="309"/>
        <v>0.14882892951394</v>
      </c>
      <c r="I601" s="269">
        <f ca="1">SUM($J$125:J601)/SUM($H$125:H601)</f>
        <v>0.475815705423717</v>
      </c>
      <c r="J601" s="284">
        <f t="shared" si="315"/>
        <v>0.0519100478325356</v>
      </c>
      <c r="K601" s="19">
        <f t="shared" si="317"/>
        <v>48700</v>
      </c>
      <c r="L601" s="269">
        <f t="shared" si="310"/>
        <v>3.43499999999995</v>
      </c>
      <c r="M601" s="226">
        <f ca="1" t="shared" si="311"/>
        <v>646.271999999999</v>
      </c>
      <c r="N601" s="280">
        <f ca="1" t="shared" si="316"/>
        <v>0.0969188816814466</v>
      </c>
      <c r="O601" s="226">
        <f t="shared" si="321"/>
        <v>211.2</v>
      </c>
      <c r="P601" s="19">
        <f ca="1" t="shared" si="285"/>
        <v>21.6</v>
      </c>
      <c r="Q601" s="226">
        <f ca="1" t="shared" si="320"/>
        <v>3.06</v>
      </c>
      <c r="R601" s="269">
        <f ca="1" t="shared" si="292"/>
        <v>0.9616203368081</v>
      </c>
      <c r="S601" s="266">
        <f ca="1" t="shared" si="293"/>
        <v>90.339311689573</v>
      </c>
      <c r="T601" s="226">
        <f ca="1">(1+OFFSET('玩法产出(新)'!$C$18,MATCH(X601,'玩法产出(新)'!$B$19:$B$25,0),1)*(1-V601)+OFFSET('玩法产出(新)'!$C$18,1+MATCH(X601,'玩法产出(新)'!$B$19:$B$25,0),1)*(V601))^AA601*(1+OFFSET('玩法产出(新)'!$C$18,MATCH(X601,'玩法产出(新)'!$B$19:$B$25,0),3)*(1-V601)+OFFSET('玩法产出(新)'!$C$18,1+MATCH(X601,'玩法产出(新)'!$B$19:$B$25,0),3)*(V601))^AB601*(1+OFFSET('玩法产出(新)'!$C$18,MATCH(X601,'玩法产出(新)'!$B$19:$B$25,0),4)*(1-V601)+OFFSET('玩法产出(新)'!$C$18,1+MATCH(X601,'玩法产出(新)'!$B$19:$B$25,0),4)*(V601))^AC601*(1+OFFSET('玩法产出(新)'!$C$18,MATCH(X601,'玩法产出(新)'!$B$19:$B$25,0),5)*(1+V601)+OFFSET('玩法产出(新)'!$C$18,1+MATCH(X601,'玩法产出(新)'!$B$19:$B$25,5),1)*(V601))^AD601*(1+OFFSET('玩法产出(新)'!$C$18,MATCH(X601,'玩法产出(新)'!$B$19:$B$25,0),6)*(1+V601)+OFFSET('玩法产出(新)'!$C$18,1+MATCH(X601,'玩法产出(新)'!$B$19:$B$25,0),6)*(V601))^AE601</f>
        <v>451.34667863005</v>
      </c>
      <c r="U601" s="226">
        <f ca="1" t="shared" si="312"/>
        <v>0.176334477407395</v>
      </c>
      <c r="V601" s="226">
        <f ca="1">COUNTIF($X$124:$X601,X601)/(COUNTIF($X$124:$X$723,X601)+1)</f>
        <v>0.74639175257732</v>
      </c>
      <c r="W601" s="19">
        <v>30</v>
      </c>
      <c r="X601" s="19" t="s">
        <v>326</v>
      </c>
      <c r="Y601" s="19">
        <f t="shared" si="318"/>
        <v>48960</v>
      </c>
      <c r="Z601" s="19">
        <f ca="1" t="shared" si="294"/>
        <v>0</v>
      </c>
      <c r="AA601" s="282">
        <f ca="1" t="shared" si="295"/>
        <v>0</v>
      </c>
      <c r="AB601" s="282">
        <f ca="1" t="shared" si="296"/>
        <v>18</v>
      </c>
      <c r="AC601" s="282">
        <f ca="1" t="shared" si="297"/>
        <v>10.0968</v>
      </c>
      <c r="AD601" s="282">
        <f ca="1" t="shared" si="298"/>
        <v>2.5242</v>
      </c>
      <c r="AE601" s="282">
        <f ca="1" t="shared" si="299"/>
        <v>0.63105</v>
      </c>
      <c r="AF601" s="19" t="str">
        <f t="shared" si="300"/>
        <v>彩4</v>
      </c>
      <c r="AG601" s="19">
        <f>IFERROR(_xlfn.XLOOKUP(C601+1,[2]基因升级!$E$141:$E$500,[2]基因升级!$D$141:$D$500)-1,AG600)</f>
        <v>115</v>
      </c>
      <c r="AH601" s="19">
        <v>8</v>
      </c>
      <c r="AI601" s="19">
        <f t="shared" si="301"/>
        <v>10.5142500606751</v>
      </c>
      <c r="AJ601" s="19">
        <f t="shared" si="313"/>
        <v>0</v>
      </c>
      <c r="AK601" s="269">
        <v>2.0368</v>
      </c>
      <c r="AL601" s="287">
        <f t="shared" si="322"/>
        <v>20.7599999999997</v>
      </c>
      <c r="AM601" s="287">
        <f t="shared" si="323"/>
        <v>17.1599999999998</v>
      </c>
      <c r="AN601" s="287">
        <f t="shared" si="284"/>
        <v>13.5599999999999</v>
      </c>
      <c r="AO601" s="287">
        <f t="shared" si="319"/>
        <v>9.95999999999996</v>
      </c>
      <c r="AP601" s="287">
        <f t="shared" si="283"/>
        <v>6.36</v>
      </c>
      <c r="AQ601" s="19">
        <f t="shared" si="302"/>
        <v>4.07387054871763</v>
      </c>
      <c r="AR601" s="19">
        <f t="shared" si="303"/>
        <v>3.19319635662839</v>
      </c>
      <c r="AS601" s="19">
        <f t="shared" si="304"/>
        <v>2.50290303779891</v>
      </c>
      <c r="AT601" s="19">
        <f t="shared" si="305"/>
        <v>1.96183476271955</v>
      </c>
      <c r="AU601" s="19">
        <f t="shared" si="306"/>
        <v>1.53773261612226</v>
      </c>
      <c r="AV601" s="232">
        <f t="shared" si="286"/>
        <v>0.0399999999999991</v>
      </c>
      <c r="AW601" s="232">
        <f t="shared" si="287"/>
        <v>0.0399999999999991</v>
      </c>
      <c r="AX601" s="232">
        <f t="shared" si="288"/>
        <v>0.0399999999999991</v>
      </c>
      <c r="AY601" s="232">
        <f t="shared" si="289"/>
        <v>0.0399999999999991</v>
      </c>
      <c r="AZ601" s="232">
        <f t="shared" si="290"/>
        <v>0.04</v>
      </c>
    </row>
    <row r="602" spans="1:52">
      <c r="A602" s="269"/>
      <c r="C602" s="19">
        <v>479</v>
      </c>
      <c r="D602" s="86">
        <f ca="1" t="shared" si="314"/>
        <v>278.540613935071</v>
      </c>
      <c r="E602" s="251">
        <f ca="1" t="shared" si="291"/>
        <v>0.324586701614413</v>
      </c>
      <c r="F602" s="269">
        <f ca="1" t="shared" si="307"/>
        <v>565.430546149122</v>
      </c>
      <c r="G602" s="283">
        <f ca="1" t="shared" si="308"/>
        <v>183.53123596658</v>
      </c>
      <c r="H602" s="279">
        <f ca="1" t="shared" si="309"/>
        <v>0.148103896970724</v>
      </c>
      <c r="I602" s="269">
        <f ca="1">SUM($J$125:J602)/SUM($H$125:H602)</f>
        <v>0.475708210384146</v>
      </c>
      <c r="J602" s="284">
        <f t="shared" si="315"/>
        <v>0.0518164131361374</v>
      </c>
      <c r="K602" s="19">
        <f t="shared" si="317"/>
        <v>48800</v>
      </c>
      <c r="L602" s="269">
        <f t="shared" si="310"/>
        <v>3.43999999999995</v>
      </c>
      <c r="M602" s="226">
        <f ca="1" t="shared" si="311"/>
        <v>650.495999999999</v>
      </c>
      <c r="N602" s="280">
        <f ca="1" t="shared" si="316"/>
        <v>0.0962874838346011</v>
      </c>
      <c r="O602" s="226">
        <f t="shared" si="321"/>
        <v>211.2</v>
      </c>
      <c r="P602" s="19">
        <f ca="1" t="shared" si="285"/>
        <v>21.8</v>
      </c>
      <c r="Q602" s="226">
        <f ca="1" t="shared" si="320"/>
        <v>3.08</v>
      </c>
      <c r="R602" s="269">
        <f ca="1" t="shared" si="292"/>
        <v>0.963498914925071</v>
      </c>
      <c r="S602" s="266">
        <f ca="1" t="shared" si="293"/>
        <v>90.5157944942167</v>
      </c>
      <c r="T602" s="226">
        <f ca="1">(1+OFFSET('玩法产出(新)'!$C$18,MATCH(X602,'玩法产出(新)'!$B$19:$B$25,0),1)*(1-V602)+OFFSET('玩法产出(新)'!$C$18,1+MATCH(X602,'玩法产出(新)'!$B$19:$B$25,0),1)*(V602))^AA602*(1+OFFSET('玩法产出(新)'!$C$18,MATCH(X602,'玩法产出(新)'!$B$19:$B$25,0),3)*(1-V602)+OFFSET('玩法产出(新)'!$C$18,1+MATCH(X602,'玩法产出(新)'!$B$19:$B$25,0),3)*(V602))^AB602*(1+OFFSET('玩法产出(新)'!$C$18,MATCH(X602,'玩法产出(新)'!$B$19:$B$25,0),4)*(1-V602)+OFFSET('玩法产出(新)'!$C$18,1+MATCH(X602,'玩法产出(新)'!$B$19:$B$25,0),4)*(V602))^AC602*(1+OFFSET('玩法产出(新)'!$C$18,MATCH(X602,'玩法产出(新)'!$B$19:$B$25,0),5)*(1+V602)+OFFSET('玩法产出(新)'!$C$18,1+MATCH(X602,'玩法产出(新)'!$B$19:$B$25,5),1)*(V602))^AD602*(1+OFFSET('玩法产出(新)'!$C$18,MATCH(X602,'玩法产出(新)'!$B$19:$B$25,0),6)*(1+V602)+OFFSET('玩法产出(新)'!$C$18,1+MATCH(X602,'玩法产出(新)'!$B$19:$B$25,0),6)*(V602))^AE602</f>
        <v>456.768327805917</v>
      </c>
      <c r="U602" s="226">
        <f ca="1" t="shared" si="312"/>
        <v>0.176482804643675</v>
      </c>
      <c r="V602" s="226">
        <f ca="1">COUNTIF($X$124:$X602,X602)/(COUNTIF($X$124:$X$723,X602)+1)</f>
        <v>0.748453608247423</v>
      </c>
      <c r="W602" s="19">
        <v>30</v>
      </c>
      <c r="X602" s="19" t="s">
        <v>326</v>
      </c>
      <c r="Y602" s="19">
        <f t="shared" si="318"/>
        <v>49060</v>
      </c>
      <c r="Z602" s="19">
        <f ca="1" t="shared" si="294"/>
        <v>0</v>
      </c>
      <c r="AA602" s="282">
        <f ca="1" t="shared" si="295"/>
        <v>0</v>
      </c>
      <c r="AB602" s="282">
        <f ca="1" t="shared" si="296"/>
        <v>18</v>
      </c>
      <c r="AC602" s="282">
        <f ca="1" t="shared" si="297"/>
        <v>10.11765</v>
      </c>
      <c r="AD602" s="282">
        <f ca="1" t="shared" si="298"/>
        <v>2.5294125</v>
      </c>
      <c r="AE602" s="282">
        <f ca="1" t="shared" si="299"/>
        <v>0.632353125</v>
      </c>
      <c r="AF602" s="19" t="str">
        <f t="shared" si="300"/>
        <v>彩4</v>
      </c>
      <c r="AG602" s="19">
        <f>IFERROR(_xlfn.XLOOKUP(C602+1,[2]基因升级!$E$141:$E$500,[2]基因升级!$D$141:$D$500)-1,AG601)</f>
        <v>115</v>
      </c>
      <c r="AH602" s="19">
        <v>8</v>
      </c>
      <c r="AI602" s="19">
        <f t="shared" si="301"/>
        <v>10.5142500606751</v>
      </c>
      <c r="AJ602" s="19">
        <f t="shared" si="313"/>
        <v>0</v>
      </c>
      <c r="AK602" s="269">
        <v>2.0368</v>
      </c>
      <c r="AL602" s="287">
        <f t="shared" si="322"/>
        <v>20.7999999999997</v>
      </c>
      <c r="AM602" s="287">
        <f t="shared" si="323"/>
        <v>17.1999999999998</v>
      </c>
      <c r="AN602" s="287">
        <f t="shared" si="284"/>
        <v>13.5999999999999</v>
      </c>
      <c r="AO602" s="287">
        <f t="shared" si="319"/>
        <v>9.99999999999996</v>
      </c>
      <c r="AP602" s="287">
        <f t="shared" si="283"/>
        <v>6.4</v>
      </c>
      <c r="AQ602" s="19">
        <f t="shared" si="302"/>
        <v>4.08491078434288</v>
      </c>
      <c r="AR602" s="19">
        <f t="shared" si="303"/>
        <v>3.20184995515424</v>
      </c>
      <c r="AS602" s="19">
        <f t="shared" si="304"/>
        <v>2.50968593356204</v>
      </c>
      <c r="AT602" s="19">
        <f t="shared" si="305"/>
        <v>1.96715135728956</v>
      </c>
      <c r="AU602" s="19">
        <f t="shared" si="306"/>
        <v>1.54189988904063</v>
      </c>
      <c r="AV602" s="232">
        <f t="shared" si="286"/>
        <v>0.0399999999999991</v>
      </c>
      <c r="AW602" s="232">
        <f t="shared" si="287"/>
        <v>0.0399999999999991</v>
      </c>
      <c r="AX602" s="232">
        <f t="shared" si="288"/>
        <v>0.0399999999999991</v>
      </c>
      <c r="AY602" s="232">
        <f t="shared" si="289"/>
        <v>0.0399999999999991</v>
      </c>
      <c r="AZ602" s="232">
        <f t="shared" si="290"/>
        <v>0.04</v>
      </c>
    </row>
    <row r="603" spans="1:52">
      <c r="A603" s="269"/>
      <c r="C603" s="19">
        <v>480</v>
      </c>
      <c r="D603" s="86">
        <f ca="1" t="shared" si="314"/>
        <v>281.873840514926</v>
      </c>
      <c r="E603" s="251">
        <f ca="1" t="shared" si="291"/>
        <v>3.33322657985493</v>
      </c>
      <c r="F603" s="269">
        <f ca="1" t="shared" si="307"/>
        <v>56.0081431642608</v>
      </c>
      <c r="G603" s="283">
        <f ca="1" t="shared" si="308"/>
        <v>186.687831483434</v>
      </c>
      <c r="H603" s="279">
        <f ca="1" t="shared" si="309"/>
        <v>3.15659551685479</v>
      </c>
      <c r="I603" s="269">
        <f ca="1">SUM($J$125:J603)/SUM($H$125:H603)</f>
        <v>0.467502239053215</v>
      </c>
      <c r="J603" s="284">
        <f t="shared" si="315"/>
        <v>0.0517231245521259</v>
      </c>
      <c r="K603" s="19">
        <f t="shared" si="317"/>
        <v>48900</v>
      </c>
      <c r="L603" s="269">
        <f t="shared" si="310"/>
        <v>3.44499999999995</v>
      </c>
      <c r="M603" s="226">
        <f ca="1" t="shared" si="311"/>
        <v>802.56</v>
      </c>
      <c r="N603" s="280">
        <f ca="1" t="shared" si="316"/>
        <v>3.10487239230265</v>
      </c>
      <c r="O603" s="226">
        <f t="shared" si="321"/>
        <v>422.4</v>
      </c>
      <c r="P603" s="19">
        <f ca="1" t="shared" si="285"/>
        <v>10</v>
      </c>
      <c r="Q603" s="226">
        <f ca="1" t="shared" si="320"/>
        <v>1.9</v>
      </c>
      <c r="R603" s="269">
        <f ca="1" t="shared" si="292"/>
        <v>0.965379071183917</v>
      </c>
      <c r="S603" s="266">
        <f ca="1" t="shared" si="293"/>
        <v>90.6924255572168</v>
      </c>
      <c r="T603" s="226">
        <f ca="1">(1+OFFSET('玩法产出(新)'!$C$18,MATCH(X603,'玩法产出(新)'!$B$19:$B$25,0),1)*(1-V603)+OFFSET('玩法产出(新)'!$C$18,1+MATCH(X603,'玩法产出(新)'!$B$19:$B$25,0),1)*(V603))^AA603*(1+OFFSET('玩法产出(新)'!$C$18,MATCH(X603,'玩法产出(新)'!$B$19:$B$25,0),3)*(1-V603)+OFFSET('玩法产出(新)'!$C$18,1+MATCH(X603,'玩法产出(新)'!$B$19:$B$25,0),3)*(V603))^AB603*(1+OFFSET('玩法产出(新)'!$C$18,MATCH(X603,'玩法产出(新)'!$B$19:$B$25,0),4)*(1-V603)+OFFSET('玩法产出(新)'!$C$18,1+MATCH(X603,'玩法产出(新)'!$B$19:$B$25,0),4)*(V603))^AC603*(1+OFFSET('玩法产出(新)'!$C$18,MATCH(X603,'玩法产出(新)'!$B$19:$B$25,0),5)*(1+V603)+OFFSET('玩法产出(新)'!$C$18,1+MATCH(X603,'玩法产出(新)'!$B$19:$B$25,5),1)*(V603))^AD603*(1+OFFSET('玩法产出(新)'!$C$18,MATCH(X603,'玩法产出(新)'!$B$19:$B$25,0),6)*(1+V603)+OFFSET('玩法产出(新)'!$C$18,1+MATCH(X603,'玩法产出(新)'!$B$19:$B$25,0),6)*(V603))^AE603</f>
        <v>462.25973959275</v>
      </c>
      <c r="U603" s="226">
        <f ca="1" t="shared" si="312"/>
        <v>0.176631063000155</v>
      </c>
      <c r="V603" s="226">
        <f ca="1">COUNTIF($X$124:$X603,X603)/(COUNTIF($X$124:$X$723,X603)+1)</f>
        <v>0.750515463917526</v>
      </c>
      <c r="W603" s="19">
        <v>30</v>
      </c>
      <c r="X603" s="19" t="s">
        <v>326</v>
      </c>
      <c r="Y603" s="19">
        <f t="shared" si="318"/>
        <v>49160</v>
      </c>
      <c r="Z603" s="19">
        <f ca="1" t="shared" si="294"/>
        <v>0</v>
      </c>
      <c r="AA603" s="282">
        <f ca="1" t="shared" si="295"/>
        <v>0</v>
      </c>
      <c r="AB603" s="282">
        <f ca="1" t="shared" si="296"/>
        <v>18</v>
      </c>
      <c r="AC603" s="282">
        <f ca="1" t="shared" si="297"/>
        <v>10.1385</v>
      </c>
      <c r="AD603" s="282">
        <f ca="1" t="shared" si="298"/>
        <v>2.534625</v>
      </c>
      <c r="AE603" s="282">
        <f ca="1" t="shared" si="299"/>
        <v>0.63365625</v>
      </c>
      <c r="AF603" s="19" t="str">
        <f t="shared" si="300"/>
        <v>彩5</v>
      </c>
      <c r="AG603" s="19">
        <f>IFERROR(_xlfn.XLOOKUP(C603+1,[2]基因升级!$E$141:$E$500,[2]基因升级!$D$141:$D$500)-1,AG602)</f>
        <v>115</v>
      </c>
      <c r="AH603" s="19">
        <v>8</v>
      </c>
      <c r="AI603" s="19">
        <f t="shared" si="301"/>
        <v>10.5142500606751</v>
      </c>
      <c r="AJ603" s="19">
        <f t="shared" si="313"/>
        <v>0</v>
      </c>
      <c r="AK603" s="269">
        <v>2.0368</v>
      </c>
      <c r="AL603" s="287">
        <f t="shared" si="322"/>
        <v>20.8399999999997</v>
      </c>
      <c r="AM603" s="287">
        <f t="shared" si="323"/>
        <v>17.2399999999998</v>
      </c>
      <c r="AN603" s="287">
        <f t="shared" si="284"/>
        <v>13.6399999999999</v>
      </c>
      <c r="AO603" s="287">
        <f t="shared" si="319"/>
        <v>10.04</v>
      </c>
      <c r="AP603" s="287">
        <f t="shared" si="283"/>
        <v>6.44</v>
      </c>
      <c r="AQ603" s="19">
        <f t="shared" si="302"/>
        <v>4.09598093913254</v>
      </c>
      <c r="AR603" s="19">
        <f t="shared" si="303"/>
        <v>3.21052700503074</v>
      </c>
      <c r="AS603" s="19">
        <f t="shared" si="304"/>
        <v>2.51648721105002</v>
      </c>
      <c r="AT603" s="19">
        <f t="shared" si="305"/>
        <v>1.97248235989146</v>
      </c>
      <c r="AU603" s="19">
        <f t="shared" si="306"/>
        <v>1.54607845531612</v>
      </c>
      <c r="AV603" s="232">
        <f t="shared" si="286"/>
        <v>0.0399999999999991</v>
      </c>
      <c r="AW603" s="232">
        <f t="shared" si="287"/>
        <v>0.0399999999999991</v>
      </c>
      <c r="AX603" s="232">
        <f t="shared" si="288"/>
        <v>0.0399999999999991</v>
      </c>
      <c r="AY603" s="232">
        <f t="shared" si="289"/>
        <v>0.0399999999999991</v>
      </c>
      <c r="AZ603" s="232">
        <f t="shared" si="290"/>
        <v>0.04</v>
      </c>
    </row>
    <row r="604" spans="1:52">
      <c r="A604" s="269"/>
      <c r="C604" s="19">
        <v>481</v>
      </c>
      <c r="D604" s="86">
        <f ca="1" t="shared" si="314"/>
        <v>282.257016560645</v>
      </c>
      <c r="E604" s="251">
        <f ca="1" t="shared" si="291"/>
        <v>0.383176045718728</v>
      </c>
      <c r="F604" s="269">
        <f ca="1" t="shared" si="307"/>
        <v>487.750292234572</v>
      </c>
      <c r="G604" s="283">
        <f ca="1" t="shared" si="308"/>
        <v>186.894228276597</v>
      </c>
      <c r="H604" s="279">
        <f ca="1" t="shared" si="309"/>
        <v>0.206396793163094</v>
      </c>
      <c r="I604" s="269">
        <f ca="1">SUM($J$125:J604)/SUM($H$125:H604)</f>
        <v>0.467248636755089</v>
      </c>
      <c r="J604" s="284">
        <f t="shared" si="315"/>
        <v>0.0516301801210091</v>
      </c>
      <c r="K604" s="19">
        <f t="shared" si="317"/>
        <v>49000</v>
      </c>
      <c r="L604" s="269">
        <f t="shared" si="310"/>
        <v>3.44999999999995</v>
      </c>
      <c r="M604" s="226">
        <f ca="1" t="shared" si="311"/>
        <v>811.008</v>
      </c>
      <c r="N604" s="280">
        <f ca="1" t="shared" si="316"/>
        <v>0.154766613042057</v>
      </c>
      <c r="O604" s="226">
        <f t="shared" si="321"/>
        <v>422.4</v>
      </c>
      <c r="P604" s="19">
        <f ca="1" t="shared" si="285"/>
        <v>10.2</v>
      </c>
      <c r="Q604" s="226">
        <f ca="1" t="shared" si="320"/>
        <v>1.92</v>
      </c>
      <c r="R604" s="269">
        <f ca="1" t="shared" si="292"/>
        <v>0.967260804852283</v>
      </c>
      <c r="S604" s="266">
        <f ca="1" t="shared" si="293"/>
        <v>90.8692048097725</v>
      </c>
      <c r="T604" s="226">
        <f ca="1">(1+OFFSET('玩法产出(新)'!$C$18,MATCH(X604,'玩法产出(新)'!$B$19:$B$25,0),1)*(1-V604)+OFFSET('玩法产出(新)'!$C$18,1+MATCH(X604,'玩法产出(新)'!$B$19:$B$25,0),1)*(V604))^AA604*(1+OFFSET('玩法产出(新)'!$C$18,MATCH(X604,'玩法产出(新)'!$B$19:$B$25,0),3)*(1-V604)+OFFSET('玩法产出(新)'!$C$18,1+MATCH(X604,'玩法产出(新)'!$B$19:$B$25,0),3)*(V604))^AB604*(1+OFFSET('玩法产出(新)'!$C$18,MATCH(X604,'玩法产出(新)'!$B$19:$B$25,0),4)*(1-V604)+OFFSET('玩法产出(新)'!$C$18,1+MATCH(X604,'玩法产出(新)'!$B$19:$B$25,0),4)*(V604))^AC604*(1+OFFSET('玩法产出(新)'!$C$18,MATCH(X604,'玩法产出(新)'!$B$19:$B$25,0),5)*(1+V604)+OFFSET('玩法产出(新)'!$C$18,1+MATCH(X604,'玩法产出(新)'!$B$19:$B$25,5),1)*(V604))^AD604*(1+OFFSET('玩法产出(新)'!$C$18,MATCH(X604,'玩法产出(新)'!$B$19:$B$25,0),6)*(1+V604)+OFFSET('玩法产出(新)'!$C$18,1+MATCH(X604,'玩法产出(新)'!$B$19:$B$25,0),6)*(V604))^AE604</f>
        <v>467.821861351847</v>
      </c>
      <c r="U604" s="226">
        <f ca="1" t="shared" si="312"/>
        <v>0.176779252555662</v>
      </c>
      <c r="V604" s="226">
        <f ca="1">COUNTIF($X$124:$X604,X604)/(COUNTIF($X$124:$X$723,X604)+1)</f>
        <v>0.752577319587629</v>
      </c>
      <c r="W604" s="19">
        <v>30</v>
      </c>
      <c r="X604" s="19" t="s">
        <v>326</v>
      </c>
      <c r="Y604" s="19">
        <f t="shared" si="318"/>
        <v>49260</v>
      </c>
      <c r="Z604" s="19">
        <f ca="1" t="shared" si="294"/>
        <v>0</v>
      </c>
      <c r="AA604" s="282">
        <f ca="1" t="shared" si="295"/>
        <v>0</v>
      </c>
      <c r="AB604" s="282">
        <f ca="1" t="shared" si="296"/>
        <v>18</v>
      </c>
      <c r="AC604" s="282">
        <f ca="1" t="shared" si="297"/>
        <v>10.15935</v>
      </c>
      <c r="AD604" s="282">
        <f ca="1" t="shared" si="298"/>
        <v>2.5398375</v>
      </c>
      <c r="AE604" s="282">
        <f ca="1" t="shared" si="299"/>
        <v>0.634959375</v>
      </c>
      <c r="AF604" s="19" t="str">
        <f t="shared" si="300"/>
        <v>彩5</v>
      </c>
      <c r="AG604" s="19">
        <f>IFERROR(_xlfn.XLOOKUP(C604+1,[2]基因升级!$E$141:$E$500,[2]基因升级!$D$141:$D$500)-1,AG603)</f>
        <v>115</v>
      </c>
      <c r="AH604" s="19">
        <v>8</v>
      </c>
      <c r="AI604" s="19">
        <f t="shared" si="301"/>
        <v>10.5142500606751</v>
      </c>
      <c r="AJ604" s="19">
        <f t="shared" si="313"/>
        <v>0</v>
      </c>
      <c r="AK604" s="269">
        <v>2.0368</v>
      </c>
      <c r="AL604" s="287">
        <f t="shared" si="322"/>
        <v>20.8799999999997</v>
      </c>
      <c r="AM604" s="287">
        <f t="shared" si="323"/>
        <v>17.2799999999998</v>
      </c>
      <c r="AN604" s="287">
        <f t="shared" si="284"/>
        <v>13.6799999999999</v>
      </c>
      <c r="AO604" s="287">
        <f t="shared" si="319"/>
        <v>10.08</v>
      </c>
      <c r="AP604" s="287">
        <f t="shared" si="283"/>
        <v>6.48</v>
      </c>
      <c r="AQ604" s="19">
        <f t="shared" si="302"/>
        <v>4.10708109416786</v>
      </c>
      <c r="AR604" s="19">
        <f t="shared" si="303"/>
        <v>3.21922756981132</v>
      </c>
      <c r="AS604" s="19">
        <f t="shared" si="304"/>
        <v>2.52330692007752</v>
      </c>
      <c r="AT604" s="19">
        <f t="shared" si="305"/>
        <v>1.97782780957118</v>
      </c>
      <c r="AU604" s="19">
        <f t="shared" si="306"/>
        <v>1.55026834555384</v>
      </c>
      <c r="AV604" s="232">
        <f t="shared" si="286"/>
        <v>0.0399999999999991</v>
      </c>
      <c r="AW604" s="232">
        <f t="shared" si="287"/>
        <v>0.0399999999999991</v>
      </c>
      <c r="AX604" s="232">
        <f t="shared" si="288"/>
        <v>0.0399999999999991</v>
      </c>
      <c r="AY604" s="232">
        <f t="shared" si="289"/>
        <v>0.0399999999999991</v>
      </c>
      <c r="AZ604" s="232">
        <f t="shared" si="290"/>
        <v>0.04</v>
      </c>
    </row>
    <row r="605" spans="1:52">
      <c r="A605" s="269"/>
      <c r="C605" s="19">
        <v>482</v>
      </c>
      <c r="D605" s="86">
        <f ca="1" t="shared" si="314"/>
        <v>282.63864429702</v>
      </c>
      <c r="E605" s="251">
        <f ca="1" t="shared" si="291"/>
        <v>0.381627736374717</v>
      </c>
      <c r="F605" s="269">
        <f ca="1" t="shared" si="307"/>
        <v>490.265541013699</v>
      </c>
      <c r="G605" s="283">
        <f ca="1" t="shared" si="308"/>
        <v>187.098928639584</v>
      </c>
      <c r="H605" s="279">
        <f ca="1" t="shared" si="309"/>
        <v>0.204700362986387</v>
      </c>
      <c r="I605" s="269">
        <f ca="1">SUM($J$125:J605)/SUM($H$125:H605)</f>
        <v>0.4669995760296</v>
      </c>
      <c r="J605" s="284">
        <f t="shared" si="315"/>
        <v>0.0515375778983014</v>
      </c>
      <c r="K605" s="19">
        <f t="shared" si="317"/>
        <v>49100</v>
      </c>
      <c r="L605" s="269">
        <f t="shared" si="310"/>
        <v>3.45499999999995</v>
      </c>
      <c r="M605" s="226">
        <f ca="1" t="shared" si="311"/>
        <v>819.456</v>
      </c>
      <c r="N605" s="280">
        <f ca="1" t="shared" si="316"/>
        <v>0.153162785088099</v>
      </c>
      <c r="O605" s="226">
        <f t="shared" si="321"/>
        <v>422.4</v>
      </c>
      <c r="P605" s="19">
        <f ca="1" t="shared" si="285"/>
        <v>10.4</v>
      </c>
      <c r="Q605" s="226">
        <f ca="1" t="shared" si="320"/>
        <v>1.94</v>
      </c>
      <c r="R605" s="269">
        <f ca="1" t="shared" si="292"/>
        <v>0.969144115198646</v>
      </c>
      <c r="S605" s="266">
        <f ca="1" t="shared" si="293"/>
        <v>91.0461321831608</v>
      </c>
      <c r="T605" s="226">
        <f ca="1">(1+OFFSET('玩法产出(新)'!$C$18,MATCH(X605,'玩法产出(新)'!$B$19:$B$25,0),1)*(1-V605)+OFFSET('玩法产出(新)'!$C$18,1+MATCH(X605,'玩法产出(新)'!$B$19:$B$25,0),1)*(V605))^AA605*(1+OFFSET('玩法产出(新)'!$C$18,MATCH(X605,'玩法产出(新)'!$B$19:$B$25,0),3)*(1-V605)+OFFSET('玩法产出(新)'!$C$18,1+MATCH(X605,'玩法产出(新)'!$B$19:$B$25,0),3)*(V605))^AB605*(1+OFFSET('玩法产出(新)'!$C$18,MATCH(X605,'玩法产出(新)'!$B$19:$B$25,0),4)*(1-V605)+OFFSET('玩法产出(新)'!$C$18,1+MATCH(X605,'玩法产出(新)'!$B$19:$B$25,0),4)*(V605))^AC605*(1+OFFSET('玩法产出(新)'!$C$18,MATCH(X605,'玩法产出(新)'!$B$19:$B$25,0),5)*(1+V605)+OFFSET('玩法产出(新)'!$C$18,1+MATCH(X605,'玩法产出(新)'!$B$19:$B$25,5),1)*(V605))^AD605*(1+OFFSET('玩法产出(新)'!$C$18,MATCH(X605,'玩法产出(新)'!$B$19:$B$25,0),6)*(1+V605)+OFFSET('玩法产出(新)'!$C$18,1+MATCH(X605,'玩法产出(新)'!$B$19:$B$25,0),6)*(V605))^AE605</f>
        <v>473.455653903328</v>
      </c>
      <c r="U605" s="226">
        <f ca="1" t="shared" si="312"/>
        <v>0.176927373388316</v>
      </c>
      <c r="V605" s="226">
        <f ca="1">COUNTIF($X$124:$X605,X605)/(COUNTIF($X$124:$X$723,X605)+1)</f>
        <v>0.754639175257732</v>
      </c>
      <c r="W605" s="19">
        <v>30</v>
      </c>
      <c r="X605" s="19" t="s">
        <v>326</v>
      </c>
      <c r="Y605" s="19">
        <f t="shared" si="318"/>
        <v>49360</v>
      </c>
      <c r="Z605" s="19">
        <f ca="1" t="shared" si="294"/>
        <v>0</v>
      </c>
      <c r="AA605" s="282">
        <f ca="1" t="shared" si="295"/>
        <v>0</v>
      </c>
      <c r="AB605" s="282">
        <f ca="1" t="shared" si="296"/>
        <v>18</v>
      </c>
      <c r="AC605" s="282">
        <f ca="1" t="shared" si="297"/>
        <v>10.1802</v>
      </c>
      <c r="AD605" s="282">
        <f ca="1" t="shared" si="298"/>
        <v>2.54505</v>
      </c>
      <c r="AE605" s="282">
        <f ca="1" t="shared" si="299"/>
        <v>0.6362625</v>
      </c>
      <c r="AF605" s="19" t="str">
        <f t="shared" si="300"/>
        <v>彩5</v>
      </c>
      <c r="AG605" s="19">
        <f>IFERROR(_xlfn.XLOOKUP(C605+1,[2]基因升级!$E$141:$E$500,[2]基因升级!$D$141:$D$500)-1,AG604)</f>
        <v>115</v>
      </c>
      <c r="AH605" s="19">
        <v>8</v>
      </c>
      <c r="AI605" s="19">
        <f t="shared" si="301"/>
        <v>10.5142500606751</v>
      </c>
      <c r="AJ605" s="19">
        <f t="shared" si="313"/>
        <v>0</v>
      </c>
      <c r="AK605" s="269">
        <v>2.0368</v>
      </c>
      <c r="AL605" s="287">
        <f t="shared" si="322"/>
        <v>20.9199999999997</v>
      </c>
      <c r="AM605" s="287">
        <f t="shared" si="323"/>
        <v>17.3199999999998</v>
      </c>
      <c r="AN605" s="287">
        <f t="shared" si="284"/>
        <v>13.7199999999999</v>
      </c>
      <c r="AO605" s="287">
        <f t="shared" si="319"/>
        <v>10.12</v>
      </c>
      <c r="AP605" s="287">
        <f t="shared" si="283"/>
        <v>6.52</v>
      </c>
      <c r="AQ605" s="19">
        <f t="shared" si="302"/>
        <v>4.11821133074985</v>
      </c>
      <c r="AR605" s="19">
        <f t="shared" si="303"/>
        <v>3.22795171322163</v>
      </c>
      <c r="AS605" s="19">
        <f t="shared" si="304"/>
        <v>2.53014511059422</v>
      </c>
      <c r="AT605" s="19">
        <f t="shared" si="305"/>
        <v>1.98318774548047</v>
      </c>
      <c r="AU605" s="19">
        <f t="shared" si="306"/>
        <v>1.55446959044187</v>
      </c>
      <c r="AV605" s="232">
        <f t="shared" si="286"/>
        <v>0.0399999999999991</v>
      </c>
      <c r="AW605" s="232">
        <f t="shared" si="287"/>
        <v>0.0399999999999991</v>
      </c>
      <c r="AX605" s="232">
        <f t="shared" si="288"/>
        <v>0.0399999999999991</v>
      </c>
      <c r="AY605" s="232">
        <f t="shared" si="289"/>
        <v>0.0399999999999991</v>
      </c>
      <c r="AZ605" s="232">
        <f t="shared" si="290"/>
        <v>0.04</v>
      </c>
    </row>
    <row r="606" spans="1:52">
      <c r="A606" s="269"/>
      <c r="C606" s="19">
        <v>483</v>
      </c>
      <c r="D606" s="86">
        <f ca="1" t="shared" si="314"/>
        <v>283.018756895594</v>
      </c>
      <c r="E606" s="251">
        <f ca="1" t="shared" si="291"/>
        <v>0.380112598574031</v>
      </c>
      <c r="F606" s="269">
        <f ca="1" t="shared" si="307"/>
        <v>492.753901120967</v>
      </c>
      <c r="G606" s="283">
        <f ca="1" t="shared" si="308"/>
        <v>187.301965812582</v>
      </c>
      <c r="H606" s="279">
        <f ca="1" t="shared" si="309"/>
        <v>0.203037172997824</v>
      </c>
      <c r="I606" s="269">
        <f ca="1">SUM($J$125:J606)/SUM($H$125:H606)</f>
        <v>0.466754948410526</v>
      </c>
      <c r="J606" s="284">
        <f t="shared" si="315"/>
        <v>0.0514453159544672</v>
      </c>
      <c r="K606" s="19">
        <f t="shared" si="317"/>
        <v>49200</v>
      </c>
      <c r="L606" s="269">
        <f t="shared" si="310"/>
        <v>3.45999999999995</v>
      </c>
      <c r="M606" s="226">
        <f ca="1" t="shared" si="311"/>
        <v>827.904</v>
      </c>
      <c r="N606" s="280">
        <f ca="1" t="shared" si="316"/>
        <v>0.151591857043357</v>
      </c>
      <c r="O606" s="226">
        <f t="shared" si="321"/>
        <v>422.4</v>
      </c>
      <c r="P606" s="19">
        <f ca="1" t="shared" si="285"/>
        <v>10.6</v>
      </c>
      <c r="Q606" s="226">
        <f ca="1" t="shared" si="320"/>
        <v>1.96</v>
      </c>
      <c r="R606" s="269">
        <f ca="1" t="shared" si="292"/>
        <v>0.971029001492313</v>
      </c>
      <c r="S606" s="266">
        <f ca="1" t="shared" si="293"/>
        <v>91.223207608737</v>
      </c>
      <c r="T606" s="226">
        <f ca="1">(1+OFFSET('玩法产出(新)'!$C$18,MATCH(X606,'玩法产出(新)'!$B$19:$B$25,0),1)*(1-V606)+OFFSET('玩法产出(新)'!$C$18,1+MATCH(X606,'玩法产出(新)'!$B$19:$B$25,0),1)*(V606))^AA606*(1+OFFSET('玩法产出(新)'!$C$18,MATCH(X606,'玩法产出(新)'!$B$19:$B$25,0),3)*(1-V606)+OFFSET('玩法产出(新)'!$C$18,1+MATCH(X606,'玩法产出(新)'!$B$19:$B$25,0),3)*(V606))^AB606*(1+OFFSET('玩法产出(新)'!$C$18,MATCH(X606,'玩法产出(新)'!$B$19:$B$25,0),4)*(1-V606)+OFFSET('玩法产出(新)'!$C$18,1+MATCH(X606,'玩法产出(新)'!$B$19:$B$25,0),4)*(V606))^AC606*(1+OFFSET('玩法产出(新)'!$C$18,MATCH(X606,'玩法产出(新)'!$B$19:$B$25,0),5)*(1+V606)+OFFSET('玩法产出(新)'!$C$18,1+MATCH(X606,'玩法产出(新)'!$B$19:$B$25,5),1)*(V606))^AD606*(1+OFFSET('玩法产出(新)'!$C$18,MATCH(X606,'玩法产出(新)'!$B$19:$B$25,0),6)*(1+V606)+OFFSET('玩法产出(新)'!$C$18,1+MATCH(X606,'玩法产出(新)'!$B$19:$B$25,0),6)*(V606))^AE606</f>
        <v>479.162091724954</v>
      </c>
      <c r="U606" s="226">
        <f ca="1" t="shared" si="312"/>
        <v>0.177075425576207</v>
      </c>
      <c r="V606" s="226">
        <f ca="1">COUNTIF($X$124:$X606,X606)/(COUNTIF($X$124:$X$723,X606)+1)</f>
        <v>0.756701030927835</v>
      </c>
      <c r="W606" s="19">
        <v>30</v>
      </c>
      <c r="X606" s="19" t="s">
        <v>326</v>
      </c>
      <c r="Y606" s="19">
        <f t="shared" si="318"/>
        <v>49460</v>
      </c>
      <c r="Z606" s="19">
        <f ca="1" t="shared" si="294"/>
        <v>0</v>
      </c>
      <c r="AA606" s="282">
        <f ca="1" t="shared" si="295"/>
        <v>0</v>
      </c>
      <c r="AB606" s="282">
        <f ca="1" t="shared" si="296"/>
        <v>18</v>
      </c>
      <c r="AC606" s="282">
        <f ca="1" t="shared" si="297"/>
        <v>10.20105</v>
      </c>
      <c r="AD606" s="282">
        <f ca="1" t="shared" si="298"/>
        <v>2.5502625</v>
      </c>
      <c r="AE606" s="282">
        <f ca="1" t="shared" si="299"/>
        <v>0.637565625</v>
      </c>
      <c r="AF606" s="19" t="str">
        <f t="shared" si="300"/>
        <v>彩5</v>
      </c>
      <c r="AG606" s="19">
        <f>IFERROR(_xlfn.XLOOKUP(C606+1,[2]基因升级!$E$141:$E$500,[2]基因升级!$D$141:$D$500)-1,AG605)</f>
        <v>115</v>
      </c>
      <c r="AH606" s="19">
        <v>8</v>
      </c>
      <c r="AI606" s="19">
        <f t="shared" si="301"/>
        <v>10.5142500606751</v>
      </c>
      <c r="AJ606" s="19">
        <f t="shared" si="313"/>
        <v>0</v>
      </c>
      <c r="AK606" s="269">
        <v>2.0368</v>
      </c>
      <c r="AL606" s="287">
        <f t="shared" si="322"/>
        <v>20.9599999999997</v>
      </c>
      <c r="AM606" s="287">
        <f t="shared" si="323"/>
        <v>17.3599999999998</v>
      </c>
      <c r="AN606" s="287">
        <f t="shared" si="284"/>
        <v>13.7599999999999</v>
      </c>
      <c r="AO606" s="287">
        <f t="shared" si="319"/>
        <v>10.16</v>
      </c>
      <c r="AP606" s="287">
        <f t="shared" si="283"/>
        <v>6.56</v>
      </c>
      <c r="AQ606" s="19">
        <f t="shared" si="302"/>
        <v>4.12937173039986</v>
      </c>
      <c r="AR606" s="19">
        <f t="shared" si="303"/>
        <v>3.23669949916002</v>
      </c>
      <c r="AS606" s="19">
        <f t="shared" si="304"/>
        <v>2.53700183268516</v>
      </c>
      <c r="AT606" s="19">
        <f t="shared" si="305"/>
        <v>1.98856220687717</v>
      </c>
      <c r="AU606" s="19">
        <f t="shared" si="306"/>
        <v>1.55868222075144</v>
      </c>
      <c r="AV606" s="232">
        <f t="shared" si="286"/>
        <v>0.0399999999999991</v>
      </c>
      <c r="AW606" s="232">
        <f t="shared" si="287"/>
        <v>0.0399999999999991</v>
      </c>
      <c r="AX606" s="232">
        <f t="shared" si="288"/>
        <v>0.0399999999999991</v>
      </c>
      <c r="AY606" s="232">
        <f t="shared" si="289"/>
        <v>0.0399999999999991</v>
      </c>
      <c r="AZ606" s="232">
        <f t="shared" si="290"/>
        <v>0.04</v>
      </c>
    </row>
    <row r="607" spans="1:52">
      <c r="A607" s="269"/>
      <c r="C607" s="19">
        <v>484</v>
      </c>
      <c r="D607" s="86">
        <f ca="1" t="shared" si="314"/>
        <v>283.397386524011</v>
      </c>
      <c r="E607" s="251">
        <f ca="1" t="shared" si="291"/>
        <v>0.378629628417466</v>
      </c>
      <c r="F607" s="269">
        <f ca="1" t="shared" si="307"/>
        <v>495.2157939026</v>
      </c>
      <c r="G607" s="283">
        <f ca="1" t="shared" si="308"/>
        <v>187.503372031801</v>
      </c>
      <c r="H607" s="279">
        <f ca="1" t="shared" si="309"/>
        <v>0.20140621921982</v>
      </c>
      <c r="I607" s="269">
        <f ca="1">SUM($J$125:J607)/SUM($H$125:H607)</f>
        <v>0.466514648991993</v>
      </c>
      <c r="J607" s="284">
        <f t="shared" si="315"/>
        <v>0.0513533923746508</v>
      </c>
      <c r="K607" s="19">
        <f t="shared" si="317"/>
        <v>49300</v>
      </c>
      <c r="L607" s="269">
        <f t="shared" si="310"/>
        <v>3.46499999999995</v>
      </c>
      <c r="M607" s="226">
        <f ca="1" t="shared" si="311"/>
        <v>836.352</v>
      </c>
      <c r="N607" s="280">
        <f ca="1" t="shared" si="316"/>
        <v>0.15005282684514</v>
      </c>
      <c r="O607" s="226">
        <f t="shared" si="321"/>
        <v>422.4</v>
      </c>
      <c r="P607" s="19">
        <f ca="1" t="shared" si="285"/>
        <v>10.8</v>
      </c>
      <c r="Q607" s="226">
        <f ca="1" t="shared" si="320"/>
        <v>1.98</v>
      </c>
      <c r="R607" s="269">
        <f ca="1" t="shared" si="292"/>
        <v>0.972915463003427</v>
      </c>
      <c r="S607" s="266">
        <f ca="1" t="shared" si="293"/>
        <v>91.4004310179347</v>
      </c>
      <c r="T607" s="226">
        <f ca="1">(1+OFFSET('玩法产出(新)'!$C$18,MATCH(X607,'玩法产出(新)'!$B$19:$B$25,0),1)*(1-V607)+OFFSET('玩法产出(新)'!$C$18,1+MATCH(X607,'玩法产出(新)'!$B$19:$B$25,0),1)*(V607))^AA607*(1+OFFSET('玩法产出(新)'!$C$18,MATCH(X607,'玩法产出(新)'!$B$19:$B$25,0),3)*(1-V607)+OFFSET('玩法产出(新)'!$C$18,1+MATCH(X607,'玩法产出(新)'!$B$19:$B$25,0),3)*(V607))^AB607*(1+OFFSET('玩法产出(新)'!$C$18,MATCH(X607,'玩法产出(新)'!$B$19:$B$25,0),4)*(1-V607)+OFFSET('玩法产出(新)'!$C$18,1+MATCH(X607,'玩法产出(新)'!$B$19:$B$25,0),4)*(V607))^AC607*(1+OFFSET('玩法产出(新)'!$C$18,MATCH(X607,'玩法产出(新)'!$B$19:$B$25,0),5)*(1+V607)+OFFSET('玩法产出(新)'!$C$18,1+MATCH(X607,'玩法产出(新)'!$B$19:$B$25,5),1)*(V607))^AD607*(1+OFFSET('玩法产出(新)'!$C$18,MATCH(X607,'玩法产出(新)'!$B$19:$B$25,0),6)*(1+V607)+OFFSET('玩法产出(新)'!$C$18,1+MATCH(X607,'玩法产出(新)'!$B$19:$B$25,0),6)*(V607))^AE607</f>
        <v>484.942163153992</v>
      </c>
      <c r="U607" s="226">
        <f ca="1" t="shared" si="312"/>
        <v>0.177223409197674</v>
      </c>
      <c r="V607" s="226">
        <f ca="1">COUNTIF($X$124:$X607,X607)/(COUNTIF($X$124:$X$723,X607)+1)</f>
        <v>0.758762886597938</v>
      </c>
      <c r="W607" s="19">
        <v>30</v>
      </c>
      <c r="X607" s="19" t="s">
        <v>326</v>
      </c>
      <c r="Y607" s="19">
        <f t="shared" si="318"/>
        <v>49560</v>
      </c>
      <c r="Z607" s="19">
        <f ca="1" t="shared" si="294"/>
        <v>0</v>
      </c>
      <c r="AA607" s="282">
        <f ca="1" t="shared" si="295"/>
        <v>0</v>
      </c>
      <c r="AB607" s="282">
        <f ca="1" t="shared" si="296"/>
        <v>18</v>
      </c>
      <c r="AC607" s="282">
        <f ca="1" t="shared" si="297"/>
        <v>10.2219</v>
      </c>
      <c r="AD607" s="282">
        <f ca="1" t="shared" si="298"/>
        <v>2.555475</v>
      </c>
      <c r="AE607" s="282">
        <f ca="1" t="shared" si="299"/>
        <v>0.63886875</v>
      </c>
      <c r="AF607" s="19" t="str">
        <f t="shared" si="300"/>
        <v>彩5</v>
      </c>
      <c r="AG607" s="19">
        <f>IFERROR(_xlfn.XLOOKUP(C607+1,[2]基因升级!$E$141:$E$500,[2]基因升级!$D$141:$D$500)-1,AG606)</f>
        <v>115</v>
      </c>
      <c r="AH607" s="19">
        <v>8</v>
      </c>
      <c r="AI607" s="19">
        <f t="shared" si="301"/>
        <v>10.5142500606751</v>
      </c>
      <c r="AJ607" s="19">
        <f t="shared" si="313"/>
        <v>0</v>
      </c>
      <c r="AK607" s="269">
        <v>2.0368</v>
      </c>
      <c r="AL607" s="287">
        <f t="shared" si="322"/>
        <v>20.9999999999997</v>
      </c>
      <c r="AM607" s="287">
        <f t="shared" si="323"/>
        <v>17.3999999999998</v>
      </c>
      <c r="AN607" s="287">
        <f t="shared" si="284"/>
        <v>13.7999999999999</v>
      </c>
      <c r="AO607" s="287">
        <f t="shared" si="319"/>
        <v>10.2</v>
      </c>
      <c r="AP607" s="287">
        <f t="shared" ref="AP607:AP670" si="324">AO517</f>
        <v>6.6</v>
      </c>
      <c r="AQ607" s="19">
        <f t="shared" si="302"/>
        <v>4.14056237486014</v>
      </c>
      <c r="AR607" s="19">
        <f t="shared" si="303"/>
        <v>3.24547099169803</v>
      </c>
      <c r="AS607" s="19">
        <f t="shared" si="304"/>
        <v>2.54387713657114</v>
      </c>
      <c r="AT607" s="19">
        <f t="shared" si="305"/>
        <v>1.99395123312551</v>
      </c>
      <c r="AU607" s="19">
        <f t="shared" si="306"/>
        <v>1.56290626733716</v>
      </c>
      <c r="AV607" s="232">
        <f t="shared" si="286"/>
        <v>0.0399999999999991</v>
      </c>
      <c r="AW607" s="232">
        <f t="shared" si="287"/>
        <v>0.0399999999999991</v>
      </c>
      <c r="AX607" s="232">
        <f t="shared" si="288"/>
        <v>0.0399999999999991</v>
      </c>
      <c r="AY607" s="232">
        <f t="shared" si="289"/>
        <v>0.0399999999999991</v>
      </c>
      <c r="AZ607" s="232">
        <f t="shared" si="290"/>
        <v>0.04</v>
      </c>
    </row>
    <row r="608" spans="1:52">
      <c r="A608" s="269"/>
      <c r="C608" s="19">
        <v>485</v>
      </c>
      <c r="D608" s="86">
        <f ca="1" t="shared" si="314"/>
        <v>283.774564386317</v>
      </c>
      <c r="E608" s="251">
        <f ca="1" t="shared" si="291"/>
        <v>0.377177862305537</v>
      </c>
      <c r="F608" s="269">
        <f ca="1" t="shared" si="307"/>
        <v>497.651631573556</v>
      </c>
      <c r="G608" s="283">
        <f ca="1" t="shared" si="308"/>
        <v>187.703178569777</v>
      </c>
      <c r="H608" s="279">
        <f ca="1" t="shared" si="309"/>
        <v>0.199806537975206</v>
      </c>
      <c r="I608" s="269">
        <f ca="1">SUM($J$125:J608)/SUM($H$125:H608)</f>
        <v>0.466278576277883</v>
      </c>
      <c r="J608" s="284">
        <f t="shared" si="315"/>
        <v>0.051261805258747</v>
      </c>
      <c r="K608" s="19">
        <f t="shared" si="317"/>
        <v>49400</v>
      </c>
      <c r="L608" s="269">
        <f t="shared" si="310"/>
        <v>3.46999999999995</v>
      </c>
      <c r="M608" s="226">
        <f ca="1" t="shared" si="311"/>
        <v>844.8</v>
      </c>
      <c r="N608" s="280">
        <f ca="1" t="shared" si="316"/>
        <v>0.148544732716502</v>
      </c>
      <c r="O608" s="226">
        <f t="shared" si="321"/>
        <v>422.4</v>
      </c>
      <c r="P608" s="19">
        <f ca="1" t="shared" si="285"/>
        <v>11</v>
      </c>
      <c r="Q608" s="226">
        <f ca="1" t="shared" si="320"/>
        <v>2</v>
      </c>
      <c r="R608" s="269">
        <f ca="1" t="shared" si="292"/>
        <v>0.974803499002956</v>
      </c>
      <c r="S608" s="266">
        <f ca="1" t="shared" si="293"/>
        <v>91.577802342265</v>
      </c>
      <c r="T608" s="226">
        <f ca="1">(1+OFFSET('玩法产出(新)'!$C$18,MATCH(X608,'玩法产出(新)'!$B$19:$B$25,0),1)*(1-V608)+OFFSET('玩法产出(新)'!$C$18,1+MATCH(X608,'玩法产出(新)'!$B$19:$B$25,0),1)*(V608))^AA608*(1+OFFSET('玩法产出(新)'!$C$18,MATCH(X608,'玩法产出(新)'!$B$19:$B$25,0),3)*(1-V608)+OFFSET('玩法产出(新)'!$C$18,1+MATCH(X608,'玩法产出(新)'!$B$19:$B$25,0),3)*(V608))^AB608*(1+OFFSET('玩法产出(新)'!$C$18,MATCH(X608,'玩法产出(新)'!$B$19:$B$25,0),4)*(1-V608)+OFFSET('玩法产出(新)'!$C$18,1+MATCH(X608,'玩法产出(新)'!$B$19:$B$25,0),4)*(V608))^AC608*(1+OFFSET('玩法产出(新)'!$C$18,MATCH(X608,'玩法产出(新)'!$B$19:$B$25,0),5)*(1+V608)+OFFSET('玩法产出(新)'!$C$18,1+MATCH(X608,'玩法产出(新)'!$B$19:$B$25,5),1)*(V608))^AD608*(1+OFFSET('玩法产出(新)'!$C$18,MATCH(X608,'玩法产出(新)'!$B$19:$B$25,0),6)*(1+V608)+OFFSET('玩法产出(新)'!$C$18,1+MATCH(X608,'玩法产出(新)'!$B$19:$B$25,0),6)*(V608))^AE608</f>
        <v>490.796870592146</v>
      </c>
      <c r="U608" s="226">
        <f ca="1" t="shared" si="312"/>
        <v>0.177371324330288</v>
      </c>
      <c r="V608" s="226">
        <f ca="1">COUNTIF($X$124:$X608,X608)/(COUNTIF($X$124:$X$723,X608)+1)</f>
        <v>0.760824742268041</v>
      </c>
      <c r="W608" s="19">
        <v>30</v>
      </c>
      <c r="X608" s="19" t="s">
        <v>326</v>
      </c>
      <c r="Y608" s="19">
        <f t="shared" si="318"/>
        <v>49660</v>
      </c>
      <c r="Z608" s="19">
        <f ca="1" t="shared" si="294"/>
        <v>0</v>
      </c>
      <c r="AA608" s="282">
        <f ca="1" t="shared" si="295"/>
        <v>0</v>
      </c>
      <c r="AB608" s="282">
        <f ca="1" t="shared" si="296"/>
        <v>18</v>
      </c>
      <c r="AC608" s="282">
        <f ca="1" t="shared" si="297"/>
        <v>10.24275</v>
      </c>
      <c r="AD608" s="282">
        <f ca="1" t="shared" si="298"/>
        <v>2.5606875</v>
      </c>
      <c r="AE608" s="282">
        <f ca="1" t="shared" si="299"/>
        <v>0.640171875</v>
      </c>
      <c r="AF608" s="19" t="str">
        <f t="shared" si="300"/>
        <v>彩5</v>
      </c>
      <c r="AG608" s="19">
        <f>IFERROR(_xlfn.XLOOKUP(C608+1,[2]基因升级!$E$141:$E$500,[2]基因升级!$D$141:$D$500)-1,AG607)</f>
        <v>115</v>
      </c>
      <c r="AH608" s="19">
        <v>8</v>
      </c>
      <c r="AI608" s="19">
        <f t="shared" si="301"/>
        <v>10.5142500606751</v>
      </c>
      <c r="AJ608" s="19">
        <f t="shared" si="313"/>
        <v>0</v>
      </c>
      <c r="AK608" s="269">
        <v>2.0368</v>
      </c>
      <c r="AL608" s="287">
        <f t="shared" si="322"/>
        <v>21.0399999999997</v>
      </c>
      <c r="AM608" s="287">
        <f t="shared" si="323"/>
        <v>17.4399999999998</v>
      </c>
      <c r="AN608" s="287">
        <f t="shared" si="284"/>
        <v>13.8399999999999</v>
      </c>
      <c r="AO608" s="287">
        <f t="shared" si="319"/>
        <v>10.24</v>
      </c>
      <c r="AP608" s="287">
        <f t="shared" si="324"/>
        <v>6.64</v>
      </c>
      <c r="AQ608" s="19">
        <f t="shared" si="302"/>
        <v>4.15178334609447</v>
      </c>
      <c r="AR608" s="19">
        <f t="shared" si="303"/>
        <v>3.2542662550808</v>
      </c>
      <c r="AS608" s="19">
        <f t="shared" si="304"/>
        <v>2.55077107260902</v>
      </c>
      <c r="AT608" s="19">
        <f t="shared" si="305"/>
        <v>1.99935486369642</v>
      </c>
      <c r="AU608" s="19">
        <f t="shared" si="306"/>
        <v>1.56714176113729</v>
      </c>
      <c r="AV608" s="232">
        <f t="shared" si="286"/>
        <v>0.0399999999999991</v>
      </c>
      <c r="AW608" s="232">
        <f t="shared" si="287"/>
        <v>0.0399999999999991</v>
      </c>
      <c r="AX608" s="232">
        <f t="shared" si="288"/>
        <v>0.0399999999999991</v>
      </c>
      <c r="AY608" s="232">
        <f t="shared" si="289"/>
        <v>0.0399999999999991</v>
      </c>
      <c r="AZ608" s="232">
        <f t="shared" si="290"/>
        <v>0.04</v>
      </c>
    </row>
    <row r="609" spans="1:52">
      <c r="A609" s="269"/>
      <c r="C609" s="19">
        <v>486</v>
      </c>
      <c r="D609" s="86">
        <f ca="1" t="shared" si="314"/>
        <v>284.150320761251</v>
      </c>
      <c r="E609" s="251">
        <f ca="1" t="shared" si="291"/>
        <v>0.375756374934713</v>
      </c>
      <c r="F609" s="269">
        <f ca="1" t="shared" si="307"/>
        <v>500.061817464326</v>
      </c>
      <c r="G609" s="283">
        <f ca="1" t="shared" si="308"/>
        <v>187.901415773659</v>
      </c>
      <c r="H609" s="279">
        <f ca="1" t="shared" si="309"/>
        <v>0.198237203882599</v>
      </c>
      <c r="I609" s="269">
        <f ca="1">SUM($J$125:J609)/SUM($H$125:H609)</f>
        <v>0.466046632039039</v>
      </c>
      <c r="J609" s="284">
        <f t="shared" si="315"/>
        <v>0.0511705527209187</v>
      </c>
      <c r="K609" s="19">
        <f t="shared" si="317"/>
        <v>49500</v>
      </c>
      <c r="L609" s="269">
        <f t="shared" si="310"/>
        <v>3.47499999999995</v>
      </c>
      <c r="M609" s="226">
        <f ca="1" t="shared" si="311"/>
        <v>853.248</v>
      </c>
      <c r="N609" s="280">
        <f ca="1" t="shared" si="316"/>
        <v>0.147066651161637</v>
      </c>
      <c r="O609" s="226">
        <f t="shared" si="321"/>
        <v>422.4</v>
      </c>
      <c r="P609" s="19">
        <f ca="1" t="shared" si="285"/>
        <v>11.2</v>
      </c>
      <c r="Q609" s="226">
        <f ca="1" t="shared" si="320"/>
        <v>2.02</v>
      </c>
      <c r="R609" s="269">
        <f ca="1" t="shared" si="292"/>
        <v>0.976693108762699</v>
      </c>
      <c r="S609" s="266">
        <f ca="1" t="shared" si="293"/>
        <v>91.7553215133171</v>
      </c>
      <c r="T609" s="226">
        <f ca="1">(1+OFFSET('玩法产出(新)'!$C$18,MATCH(X609,'玩法产出(新)'!$B$19:$B$25,0),1)*(1-V609)+OFFSET('玩法产出(新)'!$C$18,1+MATCH(X609,'玩法产出(新)'!$B$19:$B$25,0),1)*(V609))^AA609*(1+OFFSET('玩法产出(新)'!$C$18,MATCH(X609,'玩法产出(新)'!$B$19:$B$25,0),3)*(1-V609)+OFFSET('玩法产出(新)'!$C$18,1+MATCH(X609,'玩法产出(新)'!$B$19:$B$25,0),3)*(V609))^AB609*(1+OFFSET('玩法产出(新)'!$C$18,MATCH(X609,'玩法产出(新)'!$B$19:$B$25,0),4)*(1-V609)+OFFSET('玩法产出(新)'!$C$18,1+MATCH(X609,'玩法产出(新)'!$B$19:$B$25,0),4)*(V609))^AC609*(1+OFFSET('玩法产出(新)'!$C$18,MATCH(X609,'玩法产出(新)'!$B$19:$B$25,0),5)*(1+V609)+OFFSET('玩法产出(新)'!$C$18,1+MATCH(X609,'玩法产出(新)'!$B$19:$B$25,5),1)*(V609))^AD609*(1+OFFSET('玩法产出(新)'!$C$18,MATCH(X609,'玩法产出(新)'!$B$19:$B$25,0),6)*(1+V609)+OFFSET('玩法产出(新)'!$C$18,1+MATCH(X609,'玩法产出(新)'!$B$19:$B$25,0),6)*(V609))^AE609</f>
        <v>496.72723071365</v>
      </c>
      <c r="U609" s="226">
        <f ca="1" t="shared" si="312"/>
        <v>0.177519171052157</v>
      </c>
      <c r="V609" s="226">
        <f ca="1">COUNTIF($X$124:$X609,X609)/(COUNTIF($X$124:$X$723,X609)+1)</f>
        <v>0.762886597938144</v>
      </c>
      <c r="W609" s="19">
        <v>30</v>
      </c>
      <c r="X609" s="19" t="s">
        <v>326</v>
      </c>
      <c r="Y609" s="19">
        <f t="shared" si="318"/>
        <v>49760</v>
      </c>
      <c r="Z609" s="19">
        <f ca="1" t="shared" si="294"/>
        <v>0</v>
      </c>
      <c r="AA609" s="282">
        <f ca="1" t="shared" si="295"/>
        <v>0</v>
      </c>
      <c r="AB609" s="282">
        <f ca="1" t="shared" si="296"/>
        <v>18</v>
      </c>
      <c r="AC609" s="282">
        <f ca="1" t="shared" si="297"/>
        <v>10.2636</v>
      </c>
      <c r="AD609" s="282">
        <f ca="1" t="shared" si="298"/>
        <v>2.5659</v>
      </c>
      <c r="AE609" s="282">
        <f ca="1" t="shared" si="299"/>
        <v>0.641475</v>
      </c>
      <c r="AF609" s="19" t="str">
        <f t="shared" si="300"/>
        <v>彩5</v>
      </c>
      <c r="AG609" s="19">
        <f>IFERROR(_xlfn.XLOOKUP(C609+1,[2]基因升级!$E$141:$E$500,[2]基因升级!$D$141:$D$500)-1,AG608)</f>
        <v>115</v>
      </c>
      <c r="AH609" s="19">
        <v>8</v>
      </c>
      <c r="AI609" s="19">
        <f t="shared" si="301"/>
        <v>10.5142500606751</v>
      </c>
      <c r="AJ609" s="19">
        <f t="shared" si="313"/>
        <v>0</v>
      </c>
      <c r="AK609" s="269">
        <v>2.0368</v>
      </c>
      <c r="AL609" s="287">
        <f t="shared" si="322"/>
        <v>21.0799999999997</v>
      </c>
      <c r="AM609" s="287">
        <f t="shared" si="323"/>
        <v>17.4799999999998</v>
      </c>
      <c r="AN609" s="287">
        <f t="shared" si="284"/>
        <v>13.8799999999999</v>
      </c>
      <c r="AO609" s="287">
        <f t="shared" si="319"/>
        <v>10.28</v>
      </c>
      <c r="AP609" s="287">
        <f t="shared" si="324"/>
        <v>6.68</v>
      </c>
      <c r="AQ609" s="19">
        <f t="shared" si="302"/>
        <v>4.16303472628875</v>
      </c>
      <c r="AR609" s="19">
        <f t="shared" si="303"/>
        <v>3.2630853537276</v>
      </c>
      <c r="AS609" s="19">
        <f t="shared" si="304"/>
        <v>2.55768369129214</v>
      </c>
      <c r="AT609" s="19">
        <f t="shared" si="305"/>
        <v>2.00477313816778</v>
      </c>
      <c r="AU609" s="19">
        <f t="shared" si="306"/>
        <v>1.57138873317389</v>
      </c>
      <c r="AV609" s="232">
        <f t="shared" si="286"/>
        <v>0.0399999999999991</v>
      </c>
      <c r="AW609" s="232">
        <f t="shared" si="287"/>
        <v>0.0399999999999991</v>
      </c>
      <c r="AX609" s="232">
        <f t="shared" si="288"/>
        <v>0.0399999999999991</v>
      </c>
      <c r="AY609" s="232">
        <f t="shared" si="289"/>
        <v>0.0399999999999991</v>
      </c>
      <c r="AZ609" s="232">
        <f t="shared" si="290"/>
        <v>0.04</v>
      </c>
    </row>
    <row r="610" spans="1:52">
      <c r="A610" s="269"/>
      <c r="C610" s="19">
        <v>487</v>
      </c>
      <c r="D610" s="86">
        <f ca="1" t="shared" si="314"/>
        <v>284.524685038662</v>
      </c>
      <c r="E610" s="251">
        <f ca="1" t="shared" si="291"/>
        <v>0.374364277410805</v>
      </c>
      <c r="F610" s="269">
        <f ca="1" t="shared" si="307"/>
        <v>502.446746261589</v>
      </c>
      <c r="G610" s="283">
        <f ca="1" t="shared" si="308"/>
        <v>188.09811310163</v>
      </c>
      <c r="H610" s="279">
        <f ca="1" t="shared" si="309"/>
        <v>0.196697327970213</v>
      </c>
      <c r="I610" s="269">
        <f ca="1">SUM($J$125:J610)/SUM($H$125:H610)</f>
        <v>0.465818721177802</v>
      </c>
      <c r="J610" s="284">
        <f t="shared" si="315"/>
        <v>0.0510796328898238</v>
      </c>
      <c r="K610" s="19">
        <f t="shared" si="317"/>
        <v>49600</v>
      </c>
      <c r="L610" s="269">
        <f t="shared" si="310"/>
        <v>3.47999999999995</v>
      </c>
      <c r="M610" s="226">
        <f ca="1" t="shared" si="311"/>
        <v>861.696</v>
      </c>
      <c r="N610" s="280">
        <f ca="1" t="shared" si="316"/>
        <v>0.145617695080418</v>
      </c>
      <c r="O610" s="226">
        <f t="shared" si="321"/>
        <v>422.4</v>
      </c>
      <c r="P610" s="19">
        <f ca="1" t="shared" si="285"/>
        <v>11.4</v>
      </c>
      <c r="Q610" s="226">
        <f ca="1" t="shared" si="320"/>
        <v>2.04</v>
      </c>
      <c r="R610" s="269">
        <f ca="1" t="shared" si="292"/>
        <v>0.978584291555278</v>
      </c>
      <c r="S610" s="266">
        <f ca="1" t="shared" si="293"/>
        <v>91.9329884627577</v>
      </c>
      <c r="T610" s="226">
        <f ca="1">(1+OFFSET('玩法产出(新)'!$C$18,MATCH(X610,'玩法产出(新)'!$B$19:$B$25,0),1)*(1-V610)+OFFSET('玩法产出(新)'!$C$18,1+MATCH(X610,'玩法产出(新)'!$B$19:$B$25,0),1)*(V610))^AA610*(1+OFFSET('玩法产出(新)'!$C$18,MATCH(X610,'玩法产出(新)'!$B$19:$B$25,0),3)*(1-V610)+OFFSET('玩法产出(新)'!$C$18,1+MATCH(X610,'玩法产出(新)'!$B$19:$B$25,0),3)*(V610))^AB610*(1+OFFSET('玩法产出(新)'!$C$18,MATCH(X610,'玩法产出(新)'!$B$19:$B$25,0),4)*(1-V610)+OFFSET('玩法产出(新)'!$C$18,1+MATCH(X610,'玩法产出(新)'!$B$19:$B$25,0),4)*(V610))^AC610*(1+OFFSET('玩法产出(新)'!$C$18,MATCH(X610,'玩法产出(新)'!$B$19:$B$25,0),5)*(1+V610)+OFFSET('玩法产出(新)'!$C$18,1+MATCH(X610,'玩法产出(新)'!$B$19:$B$25,5),1)*(V610))^AD610*(1+OFFSET('玩法产出(新)'!$C$18,MATCH(X610,'玩法产出(新)'!$B$19:$B$25,0),6)*(1+V610)+OFFSET('玩法产出(新)'!$C$18,1+MATCH(X610,'玩法产出(新)'!$B$19:$B$25,0),6)*(V610))^AE610</f>
        <v>502.734274676523</v>
      </c>
      <c r="U610" s="226">
        <f ca="1" t="shared" si="312"/>
        <v>0.177666949440563</v>
      </c>
      <c r="V610" s="226">
        <f ca="1">COUNTIF($X$124:$X610,X610)/(COUNTIF($X$124:$X$723,X610)+1)</f>
        <v>0.764948453608247</v>
      </c>
      <c r="W610" s="19">
        <v>30</v>
      </c>
      <c r="X610" s="19" t="s">
        <v>326</v>
      </c>
      <c r="Y610" s="19">
        <f t="shared" si="318"/>
        <v>49860</v>
      </c>
      <c r="Z610" s="19">
        <f ca="1" t="shared" si="294"/>
        <v>0</v>
      </c>
      <c r="AA610" s="282">
        <f ca="1" t="shared" si="295"/>
        <v>0</v>
      </c>
      <c r="AB610" s="282">
        <f ca="1" t="shared" si="296"/>
        <v>18</v>
      </c>
      <c r="AC610" s="282">
        <f ca="1" t="shared" si="297"/>
        <v>10.28445</v>
      </c>
      <c r="AD610" s="282">
        <f ca="1" t="shared" si="298"/>
        <v>2.5711125</v>
      </c>
      <c r="AE610" s="282">
        <f ca="1" t="shared" si="299"/>
        <v>0.642778125</v>
      </c>
      <c r="AF610" s="19" t="str">
        <f t="shared" si="300"/>
        <v>彩5</v>
      </c>
      <c r="AG610" s="19">
        <f>IFERROR(_xlfn.XLOOKUP(C610+1,[2]基因升级!$E$141:$E$500,[2]基因升级!$D$141:$D$500)-1,AG609)</f>
        <v>115</v>
      </c>
      <c r="AH610" s="19">
        <v>8</v>
      </c>
      <c r="AI610" s="19">
        <f t="shared" si="301"/>
        <v>10.5142500606751</v>
      </c>
      <c r="AJ610" s="19">
        <f t="shared" si="313"/>
        <v>0</v>
      </c>
      <c r="AK610" s="269">
        <v>2.0368</v>
      </c>
      <c r="AL610" s="287">
        <f t="shared" si="322"/>
        <v>21.1199999999997</v>
      </c>
      <c r="AM610" s="287">
        <f t="shared" si="323"/>
        <v>17.5199999999998</v>
      </c>
      <c r="AN610" s="287">
        <f t="shared" si="284"/>
        <v>13.9199999999999</v>
      </c>
      <c r="AO610" s="287">
        <f t="shared" si="319"/>
        <v>10.32</v>
      </c>
      <c r="AP610" s="287">
        <f t="shared" si="324"/>
        <v>6.72</v>
      </c>
      <c r="AQ610" s="19">
        <f t="shared" si="302"/>
        <v>4.17431659785161</v>
      </c>
      <c r="AR610" s="19">
        <f t="shared" si="303"/>
        <v>3.27192835223226</v>
      </c>
      <c r="AS610" s="19">
        <f t="shared" si="304"/>
        <v>2.56461504325069</v>
      </c>
      <c r="AT610" s="19">
        <f t="shared" si="305"/>
        <v>2.01020609622471</v>
      </c>
      <c r="AU610" s="19">
        <f t="shared" si="306"/>
        <v>1.57564721455312</v>
      </c>
      <c r="AV610" s="232">
        <f t="shared" si="286"/>
        <v>0.0399999999999991</v>
      </c>
      <c r="AW610" s="232">
        <f t="shared" si="287"/>
        <v>0.0399999999999991</v>
      </c>
      <c r="AX610" s="232">
        <f t="shared" si="288"/>
        <v>0.0399999999999991</v>
      </c>
      <c r="AY610" s="232">
        <f t="shared" si="289"/>
        <v>0.0399999999999991</v>
      </c>
      <c r="AZ610" s="232">
        <f t="shared" si="290"/>
        <v>0.04</v>
      </c>
    </row>
    <row r="611" spans="1:52">
      <c r="A611" s="269"/>
      <c r="C611" s="19">
        <v>488</v>
      </c>
      <c r="D611" s="86">
        <f ca="1" t="shared" si="314"/>
        <v>284.897685754136</v>
      </c>
      <c r="E611" s="251">
        <f ca="1" t="shared" si="291"/>
        <v>0.3730007154737</v>
      </c>
      <c r="F611" s="269">
        <f ca="1" t="shared" si="307"/>
        <v>504.806804240048</v>
      </c>
      <c r="G611" s="283">
        <f ca="1" t="shared" si="308"/>
        <v>188.29329915753</v>
      </c>
      <c r="H611" s="279">
        <f ca="1" t="shared" si="309"/>
        <v>0.195186055900621</v>
      </c>
      <c r="I611" s="269">
        <f ca="1">SUM($J$125:J611)/SUM($H$125:H611)</f>
        <v>0.465594751599406</v>
      </c>
      <c r="J611" s="284">
        <f t="shared" si="315"/>
        <v>0.0509890439082739</v>
      </c>
      <c r="K611" s="19">
        <f t="shared" si="317"/>
        <v>49700</v>
      </c>
      <c r="L611" s="269">
        <f t="shared" si="310"/>
        <v>3.48499999999995</v>
      </c>
      <c r="M611" s="226">
        <f ca="1" t="shared" si="311"/>
        <v>870.144</v>
      </c>
      <c r="N611" s="280">
        <f ca="1" t="shared" si="316"/>
        <v>0.144197011992333</v>
      </c>
      <c r="O611" s="226">
        <f t="shared" si="321"/>
        <v>422.4</v>
      </c>
      <c r="P611" s="19">
        <f ca="1" t="shared" si="285"/>
        <v>11.6</v>
      </c>
      <c r="Q611" s="226">
        <f ca="1" t="shared" si="320"/>
        <v>2.06</v>
      </c>
      <c r="R611" s="269">
        <f ca="1" t="shared" si="292"/>
        <v>0.98047704665414</v>
      </c>
      <c r="S611" s="266">
        <f ca="1" t="shared" si="293"/>
        <v>92.1108031223308</v>
      </c>
      <c r="T611" s="226">
        <f ca="1">(1+OFFSET('玩法产出(新)'!$C$18,MATCH(X611,'玩法产出(新)'!$B$19:$B$25,0),1)*(1-V611)+OFFSET('玩法产出(新)'!$C$18,1+MATCH(X611,'玩法产出(新)'!$B$19:$B$25,0),1)*(V611))^AA611*(1+OFFSET('玩法产出(新)'!$C$18,MATCH(X611,'玩法产出(新)'!$B$19:$B$25,0),3)*(1-V611)+OFFSET('玩法产出(新)'!$C$18,1+MATCH(X611,'玩法产出(新)'!$B$19:$B$25,0),3)*(V611))^AB611*(1+OFFSET('玩法产出(新)'!$C$18,MATCH(X611,'玩法产出(新)'!$B$19:$B$25,0),4)*(1-V611)+OFFSET('玩法产出(新)'!$C$18,1+MATCH(X611,'玩法产出(新)'!$B$19:$B$25,0),4)*(V611))^AC611*(1+OFFSET('玩法产出(新)'!$C$18,MATCH(X611,'玩法产出(新)'!$B$19:$B$25,0),5)*(1+V611)+OFFSET('玩法产出(新)'!$C$18,1+MATCH(X611,'玩法产出(新)'!$B$19:$B$25,5),1)*(V611))^AD611*(1+OFFSET('玩法产出(新)'!$C$18,MATCH(X611,'玩法产出(新)'!$B$19:$B$25,0),6)*(1+V611)+OFFSET('玩法产出(新)'!$C$18,1+MATCH(X611,'玩法产出(新)'!$B$19:$B$25,0),6)*(V611))^AE611</f>
        <v>508.819048337077</v>
      </c>
      <c r="U611" s="226">
        <f ca="1" t="shared" si="312"/>
        <v>0.177814659573094</v>
      </c>
      <c r="V611" s="226">
        <f ca="1">COUNTIF($X$124:$X611,X611)/(COUNTIF($X$124:$X$723,X611)+1)</f>
        <v>0.767010309278351</v>
      </c>
      <c r="W611" s="19">
        <v>30</v>
      </c>
      <c r="X611" s="19" t="s">
        <v>326</v>
      </c>
      <c r="Y611" s="19">
        <f t="shared" si="318"/>
        <v>49960</v>
      </c>
      <c r="Z611" s="19">
        <f ca="1" t="shared" si="294"/>
        <v>0</v>
      </c>
      <c r="AA611" s="282">
        <f ca="1" t="shared" si="295"/>
        <v>0</v>
      </c>
      <c r="AB611" s="282">
        <f ca="1" t="shared" si="296"/>
        <v>18</v>
      </c>
      <c r="AC611" s="282">
        <f ca="1" t="shared" si="297"/>
        <v>10.3053</v>
      </c>
      <c r="AD611" s="282">
        <f ca="1" t="shared" si="298"/>
        <v>2.576325</v>
      </c>
      <c r="AE611" s="282">
        <f ca="1" t="shared" si="299"/>
        <v>0.64408125</v>
      </c>
      <c r="AF611" s="19" t="str">
        <f t="shared" si="300"/>
        <v>彩5</v>
      </c>
      <c r="AG611" s="19">
        <f>IFERROR(_xlfn.XLOOKUP(C611+1,[2]基因升级!$E$141:$E$500,[2]基因升级!$D$141:$D$500)-1,AG610)</f>
        <v>115</v>
      </c>
      <c r="AH611" s="19">
        <v>8</v>
      </c>
      <c r="AI611" s="19">
        <f t="shared" si="301"/>
        <v>10.5142500606751</v>
      </c>
      <c r="AJ611" s="19">
        <f t="shared" si="313"/>
        <v>0</v>
      </c>
      <c r="AK611" s="269">
        <v>2.0368</v>
      </c>
      <c r="AL611" s="287">
        <f t="shared" si="322"/>
        <v>21.1599999999997</v>
      </c>
      <c r="AM611" s="287">
        <f t="shared" si="323"/>
        <v>17.5599999999998</v>
      </c>
      <c r="AN611" s="287">
        <f t="shared" si="284"/>
        <v>13.9599999999999</v>
      </c>
      <c r="AO611" s="287">
        <f t="shared" si="319"/>
        <v>10.3599999999999</v>
      </c>
      <c r="AP611" s="287">
        <f t="shared" si="324"/>
        <v>6.76</v>
      </c>
      <c r="AQ611" s="19">
        <f t="shared" si="302"/>
        <v>4.18562904341501</v>
      </c>
      <c r="AR611" s="19">
        <f t="shared" si="303"/>
        <v>3.28079531536367</v>
      </c>
      <c r="AS611" s="19">
        <f t="shared" si="304"/>
        <v>2.57156517925207</v>
      </c>
      <c r="AT611" s="19">
        <f t="shared" si="305"/>
        <v>2.01565377765991</v>
      </c>
      <c r="AU611" s="19">
        <f t="shared" si="306"/>
        <v>1.57991723646543</v>
      </c>
      <c r="AV611" s="232">
        <f t="shared" si="286"/>
        <v>0.0399999999999991</v>
      </c>
      <c r="AW611" s="232">
        <f t="shared" si="287"/>
        <v>0.0399999999999991</v>
      </c>
      <c r="AX611" s="232">
        <f t="shared" si="288"/>
        <v>0.0399999999999991</v>
      </c>
      <c r="AY611" s="232">
        <f t="shared" si="289"/>
        <v>0.0399999999999991</v>
      </c>
      <c r="AZ611" s="232">
        <f t="shared" si="290"/>
        <v>0.04</v>
      </c>
    </row>
    <row r="612" spans="1:52">
      <c r="A612" s="269"/>
      <c r="C612" s="19">
        <v>489</v>
      </c>
      <c r="D612" s="86">
        <f ca="1" t="shared" si="314"/>
        <v>285.269350621961</v>
      </c>
      <c r="E612" s="251">
        <f ca="1" t="shared" si="291"/>
        <v>0.371664867824796</v>
      </c>
      <c r="F612" s="269">
        <f ca="1" t="shared" si="307"/>
        <v>507.142369487238</v>
      </c>
      <c r="G612" s="283">
        <f ca="1" t="shared" si="308"/>
        <v>188.487001723828</v>
      </c>
      <c r="H612" s="279">
        <f ca="1" t="shared" si="309"/>
        <v>0.193702566297674</v>
      </c>
      <c r="I612" s="269">
        <f ca="1">SUM($J$125:J612)/SUM($H$125:H612)</f>
        <v>0.465374634089856</v>
      </c>
      <c r="J612" s="284">
        <f t="shared" si="315"/>
        <v>0.0508987839330786</v>
      </c>
      <c r="K612" s="19">
        <f t="shared" si="317"/>
        <v>49800</v>
      </c>
      <c r="L612" s="269">
        <f t="shared" si="310"/>
        <v>3.48999999999995</v>
      </c>
      <c r="M612" s="226">
        <f ca="1" t="shared" si="311"/>
        <v>878.592</v>
      </c>
      <c r="N612" s="280">
        <f ca="1" t="shared" si="316"/>
        <v>0.142803782364595</v>
      </c>
      <c r="O612" s="226">
        <f t="shared" si="321"/>
        <v>422.4</v>
      </c>
      <c r="P612" s="19">
        <f ca="1" t="shared" si="285"/>
        <v>11.8</v>
      </c>
      <c r="Q612" s="226">
        <f ca="1" t="shared" si="320"/>
        <v>2.08</v>
      </c>
      <c r="R612" s="269">
        <f ca="1" t="shared" si="292"/>
        <v>0.982371373333556</v>
      </c>
      <c r="S612" s="266">
        <f ca="1" t="shared" si="293"/>
        <v>92.2887654238579</v>
      </c>
      <c r="T612" s="226">
        <f ca="1">(1+OFFSET('玩法产出(新)'!$C$18,MATCH(X612,'玩法产出(新)'!$B$19:$B$25,0),1)*(1-V612)+OFFSET('玩法产出(新)'!$C$18,1+MATCH(X612,'玩法产出(新)'!$B$19:$B$25,0),1)*(V612))^AA612*(1+OFFSET('玩法产出(新)'!$C$18,MATCH(X612,'玩法产出(新)'!$B$19:$B$25,0),3)*(1-V612)+OFFSET('玩法产出(新)'!$C$18,1+MATCH(X612,'玩法产出(新)'!$B$19:$B$25,0),3)*(V612))^AB612*(1+OFFSET('玩法产出(新)'!$C$18,MATCH(X612,'玩法产出(新)'!$B$19:$B$25,0),4)*(1-V612)+OFFSET('玩法产出(新)'!$C$18,1+MATCH(X612,'玩法产出(新)'!$B$19:$B$25,0),4)*(V612))^AC612*(1+OFFSET('玩法产出(新)'!$C$18,MATCH(X612,'玩法产出(新)'!$B$19:$B$25,0),5)*(1+V612)+OFFSET('玩法产出(新)'!$C$18,1+MATCH(X612,'玩法产出(新)'!$B$19:$B$25,5),1)*(V612))^AD612*(1+OFFSET('玩法产出(新)'!$C$18,MATCH(X612,'玩法产出(新)'!$B$19:$B$25,0),6)*(1+V612)+OFFSET('玩法产出(新)'!$C$18,1+MATCH(X612,'玩法产出(新)'!$B$19:$B$25,0),6)*(V612))^AE612</f>
        <v>514.982612467712</v>
      </c>
      <c r="U612" s="226">
        <f ca="1" t="shared" si="312"/>
        <v>0.177962301527122</v>
      </c>
      <c r="V612" s="226">
        <f ca="1">COUNTIF($X$124:$X612,X612)/(COUNTIF($X$124:$X$723,X612)+1)</f>
        <v>0.769072164948454</v>
      </c>
      <c r="W612" s="19">
        <v>30</v>
      </c>
      <c r="X612" s="19" t="s">
        <v>326</v>
      </c>
      <c r="Y612" s="19">
        <f t="shared" si="318"/>
        <v>50060</v>
      </c>
      <c r="Z612" s="19">
        <f ca="1" t="shared" si="294"/>
        <v>0</v>
      </c>
      <c r="AA612" s="282">
        <f ca="1" t="shared" si="295"/>
        <v>0</v>
      </c>
      <c r="AB612" s="282">
        <f ca="1" t="shared" si="296"/>
        <v>18</v>
      </c>
      <c r="AC612" s="282">
        <f ca="1" t="shared" si="297"/>
        <v>10.32615</v>
      </c>
      <c r="AD612" s="282">
        <f ca="1" t="shared" si="298"/>
        <v>2.5815375</v>
      </c>
      <c r="AE612" s="282">
        <f ca="1" t="shared" si="299"/>
        <v>0.645384375</v>
      </c>
      <c r="AF612" s="19" t="str">
        <f t="shared" si="300"/>
        <v>彩5</v>
      </c>
      <c r="AG612" s="19">
        <f>IFERROR(_xlfn.XLOOKUP(C612+1,[2]基因升级!$E$141:$E$500,[2]基因升级!$D$141:$D$500)-1,AG611)</f>
        <v>115</v>
      </c>
      <c r="AH612" s="19">
        <v>8</v>
      </c>
      <c r="AI612" s="19">
        <f t="shared" si="301"/>
        <v>10.5142500606751</v>
      </c>
      <c r="AJ612" s="19">
        <f t="shared" si="313"/>
        <v>0</v>
      </c>
      <c r="AK612" s="269">
        <v>2.0368</v>
      </c>
      <c r="AL612" s="287">
        <f t="shared" si="322"/>
        <v>21.1999999999997</v>
      </c>
      <c r="AM612" s="287">
        <f t="shared" si="323"/>
        <v>17.5999999999998</v>
      </c>
      <c r="AN612" s="287">
        <f t="shared" si="284"/>
        <v>13.9999999999999</v>
      </c>
      <c r="AO612" s="287">
        <f t="shared" si="319"/>
        <v>10.3999999999999</v>
      </c>
      <c r="AP612" s="287">
        <f t="shared" si="324"/>
        <v>6.8</v>
      </c>
      <c r="AQ612" s="19">
        <f t="shared" si="302"/>
        <v>4.19697214583484</v>
      </c>
      <c r="AR612" s="19">
        <f t="shared" si="303"/>
        <v>3.28968630806623</v>
      </c>
      <c r="AS612" s="19">
        <f t="shared" si="304"/>
        <v>2.57853415020123</v>
      </c>
      <c r="AT612" s="19">
        <f t="shared" si="305"/>
        <v>2.0211162223739</v>
      </c>
      <c r="AU612" s="19">
        <f t="shared" si="306"/>
        <v>1.5841988301858</v>
      </c>
      <c r="AV612" s="232">
        <f t="shared" si="286"/>
        <v>0.0399999999999991</v>
      </c>
      <c r="AW612" s="232">
        <f t="shared" si="287"/>
        <v>0.0399999999999991</v>
      </c>
      <c r="AX612" s="232">
        <f t="shared" si="288"/>
        <v>0.0399999999999991</v>
      </c>
      <c r="AY612" s="232">
        <f t="shared" si="289"/>
        <v>0.0399999999999991</v>
      </c>
      <c r="AZ612" s="232">
        <f t="shared" si="290"/>
        <v>0.04</v>
      </c>
    </row>
    <row r="613" spans="1:52">
      <c r="A613" s="269"/>
      <c r="C613" s="19">
        <v>490</v>
      </c>
      <c r="D613" s="86">
        <f ca="1" t="shared" si="314"/>
        <v>285.639706566511</v>
      </c>
      <c r="E613" s="251">
        <f ca="1" t="shared" si="291"/>
        <v>0.370355944549955</v>
      </c>
      <c r="F613" s="269">
        <f ca="1" t="shared" si="307"/>
        <v>509.453812121943</v>
      </c>
      <c r="G613" s="283">
        <f ca="1" t="shared" si="308"/>
        <v>188.679247792998</v>
      </c>
      <c r="H613" s="279">
        <f ca="1" t="shared" si="309"/>
        <v>0.192246069170096</v>
      </c>
      <c r="I613" s="269">
        <f ca="1">SUM($J$125:J613)/SUM($H$125:H613)</f>
        <v>0.465158282199876</v>
      </c>
      <c r="J613" s="284">
        <f t="shared" si="315"/>
        <v>0.0508088511350309</v>
      </c>
      <c r="K613" s="19">
        <f t="shared" si="317"/>
        <v>49900</v>
      </c>
      <c r="L613" s="269">
        <f t="shared" si="310"/>
        <v>3.49499999999995</v>
      </c>
      <c r="M613" s="226">
        <f ca="1" t="shared" si="311"/>
        <v>887.04</v>
      </c>
      <c r="N613" s="280">
        <f ca="1" t="shared" si="316"/>
        <v>0.141437218035094</v>
      </c>
      <c r="O613" s="226">
        <f t="shared" si="321"/>
        <v>422.4</v>
      </c>
      <c r="P613" s="19">
        <f ca="1" t="shared" si="285"/>
        <v>12</v>
      </c>
      <c r="Q613" s="226">
        <f ca="1" t="shared" si="320"/>
        <v>2.1</v>
      </c>
      <c r="R613" s="269">
        <f ca="1" t="shared" si="292"/>
        <v>0.984267270868619</v>
      </c>
      <c r="S613" s="266">
        <f ca="1" t="shared" si="293"/>
        <v>92.4668752992377</v>
      </c>
      <c r="T613" s="226">
        <f ca="1">(1+OFFSET('玩法产出(新)'!$C$18,MATCH(X613,'玩法产出(新)'!$B$19:$B$25,0),1)*(1-V613)+OFFSET('玩法产出(新)'!$C$18,1+MATCH(X613,'玩法产出(新)'!$B$19:$B$25,0),1)*(V613))^AA613*(1+OFFSET('玩法产出(新)'!$C$18,MATCH(X613,'玩法产出(新)'!$B$19:$B$25,0),3)*(1-V613)+OFFSET('玩法产出(新)'!$C$18,1+MATCH(X613,'玩法产出(新)'!$B$19:$B$25,0),3)*(V613))^AB613*(1+OFFSET('玩法产出(新)'!$C$18,MATCH(X613,'玩法产出(新)'!$B$19:$B$25,0),4)*(1-V613)+OFFSET('玩法产出(新)'!$C$18,1+MATCH(X613,'玩法产出(新)'!$B$19:$B$25,0),4)*(V613))^AC613*(1+OFFSET('玩法产出(新)'!$C$18,MATCH(X613,'玩法产出(新)'!$B$19:$B$25,0),5)*(1+V613)+OFFSET('玩法产出(新)'!$C$18,1+MATCH(X613,'玩法产出(新)'!$B$19:$B$25,5),1)*(V613))^AD613*(1+OFFSET('玩法产出(新)'!$C$18,MATCH(X613,'玩法产出(新)'!$B$19:$B$25,0),6)*(1+V613)+OFFSET('玩法产出(新)'!$C$18,1+MATCH(X613,'玩法产出(新)'!$B$19:$B$25,0),6)*(V613))^AE613</f>
        <v>521.226042978044</v>
      </c>
      <c r="U613" s="226">
        <f ca="1" t="shared" si="312"/>
        <v>0.178109875379831</v>
      </c>
      <c r="V613" s="226">
        <f ca="1">COUNTIF($X$124:$X613,X613)/(COUNTIF($X$124:$X$723,X613)+1)</f>
        <v>0.771134020618557</v>
      </c>
      <c r="W613" s="19">
        <v>30</v>
      </c>
      <c r="X613" s="19" t="s">
        <v>326</v>
      </c>
      <c r="Y613" s="19">
        <f t="shared" si="318"/>
        <v>50160</v>
      </c>
      <c r="Z613" s="19">
        <f ca="1" t="shared" si="294"/>
        <v>0</v>
      </c>
      <c r="AA613" s="282">
        <f ca="1" t="shared" si="295"/>
        <v>0</v>
      </c>
      <c r="AB613" s="282">
        <f ca="1" t="shared" si="296"/>
        <v>18</v>
      </c>
      <c r="AC613" s="282">
        <f ca="1" t="shared" si="297"/>
        <v>10.347</v>
      </c>
      <c r="AD613" s="282">
        <f ca="1" t="shared" si="298"/>
        <v>2.58675</v>
      </c>
      <c r="AE613" s="282">
        <f ca="1" t="shared" si="299"/>
        <v>0.6466875</v>
      </c>
      <c r="AF613" s="19" t="str">
        <f t="shared" si="300"/>
        <v>彩5</v>
      </c>
      <c r="AG613" s="19">
        <f>IFERROR(_xlfn.XLOOKUP(C613+1,[2]基因升级!$E$141:$E$500,[2]基因升级!$D$141:$D$500)-1,AG612)</f>
        <v>115</v>
      </c>
      <c r="AH613" s="19">
        <v>8</v>
      </c>
      <c r="AI613" s="19">
        <f t="shared" si="301"/>
        <v>10.5142500606751</v>
      </c>
      <c r="AJ613" s="19">
        <f t="shared" si="313"/>
        <v>0</v>
      </c>
      <c r="AK613" s="269">
        <v>2.0368</v>
      </c>
      <c r="AL613" s="287">
        <f t="shared" si="322"/>
        <v>21.2399999999997</v>
      </c>
      <c r="AM613" s="287">
        <f t="shared" si="323"/>
        <v>17.6399999999998</v>
      </c>
      <c r="AN613" s="287">
        <f t="shared" si="284"/>
        <v>14.0399999999999</v>
      </c>
      <c r="AO613" s="287">
        <f t="shared" si="319"/>
        <v>10.4399999999999</v>
      </c>
      <c r="AP613" s="287">
        <f t="shared" si="324"/>
        <v>6.84</v>
      </c>
      <c r="AQ613" s="19">
        <f t="shared" si="302"/>
        <v>4.20834598819153</v>
      </c>
      <c r="AR613" s="19">
        <f t="shared" si="303"/>
        <v>3.29860139546038</v>
      </c>
      <c r="AS613" s="19">
        <f t="shared" si="304"/>
        <v>2.5855220071411</v>
      </c>
      <c r="AT613" s="19">
        <f t="shared" si="305"/>
        <v>2.02659347037532</v>
      </c>
      <c r="AU613" s="19">
        <f t="shared" si="306"/>
        <v>1.58849202707396</v>
      </c>
      <c r="AV613" s="232">
        <f t="shared" si="286"/>
        <v>0.0399999999999991</v>
      </c>
      <c r="AW613" s="232">
        <f t="shared" si="287"/>
        <v>0.0399999999999991</v>
      </c>
      <c r="AX613" s="232">
        <f t="shared" si="288"/>
        <v>0.0399999999999991</v>
      </c>
      <c r="AY613" s="232">
        <f t="shared" si="289"/>
        <v>0.0399999999999991</v>
      </c>
      <c r="AZ613" s="232">
        <f t="shared" si="290"/>
        <v>0.04</v>
      </c>
    </row>
    <row r="614" spans="1:52">
      <c r="A614" s="269"/>
      <c r="C614" s="19">
        <v>491</v>
      </c>
      <c r="D614" s="86">
        <f ca="1" t="shared" si="314"/>
        <v>286.008779752144</v>
      </c>
      <c r="E614" s="251">
        <f ca="1" t="shared" si="291"/>
        <v>0.369073185632914</v>
      </c>
      <c r="F614" s="269">
        <f ca="1" t="shared" si="307"/>
        <v>511.741494504767</v>
      </c>
      <c r="G614" s="283">
        <f ca="1" t="shared" si="308"/>
        <v>188.870063597423</v>
      </c>
      <c r="H614" s="279">
        <f ca="1" t="shared" si="309"/>
        <v>0.190815804424602</v>
      </c>
      <c r="I614" s="269">
        <f ca="1">SUM($J$125:J614)/SUM($H$125:H614)</f>
        <v>0.464945612134584</v>
      </c>
      <c r="J614" s="284">
        <f t="shared" si="315"/>
        <v>0.0507192436986941</v>
      </c>
      <c r="K614" s="19">
        <f t="shared" si="317"/>
        <v>50000</v>
      </c>
      <c r="L614" s="269">
        <f t="shared" si="310"/>
        <v>3.49999999999995</v>
      </c>
      <c r="M614" s="226">
        <f ca="1" t="shared" si="311"/>
        <v>895.488</v>
      </c>
      <c r="N614" s="280">
        <f ca="1" t="shared" si="316"/>
        <v>0.140096560725894</v>
      </c>
      <c r="O614" s="226">
        <f t="shared" si="321"/>
        <v>422.4</v>
      </c>
      <c r="P614" s="19">
        <f ca="1" t="shared" si="285"/>
        <v>12.2</v>
      </c>
      <c r="Q614" s="226">
        <f ca="1" t="shared" si="320"/>
        <v>2.12</v>
      </c>
      <c r="R614" s="269">
        <f ca="1" t="shared" si="292"/>
        <v>0.986164738535244</v>
      </c>
      <c r="S614" s="266">
        <f ca="1" t="shared" si="293"/>
        <v>92.6451326804461</v>
      </c>
      <c r="T614" s="226">
        <f ca="1">(1+OFFSET('玩法产出(新)'!$C$18,MATCH(X614,'玩法产出(新)'!$B$19:$B$25,0),1)*(1-V614)+OFFSET('玩法产出(新)'!$C$18,1+MATCH(X614,'玩法产出(新)'!$B$19:$B$25,0),1)*(V614))^AA614*(1+OFFSET('玩法产出(新)'!$C$18,MATCH(X614,'玩法产出(新)'!$B$19:$B$25,0),3)*(1-V614)+OFFSET('玩法产出(新)'!$C$18,1+MATCH(X614,'玩法产出(新)'!$B$19:$B$25,0),3)*(V614))^AB614*(1+OFFSET('玩法产出(新)'!$C$18,MATCH(X614,'玩法产出(新)'!$B$19:$B$25,0),4)*(1-V614)+OFFSET('玩法产出(新)'!$C$18,1+MATCH(X614,'玩法产出(新)'!$B$19:$B$25,0),4)*(V614))^AC614*(1+OFFSET('玩法产出(新)'!$C$18,MATCH(X614,'玩法产出(新)'!$B$19:$B$25,0),5)*(1+V614)+OFFSET('玩法产出(新)'!$C$18,1+MATCH(X614,'玩法产出(新)'!$B$19:$B$25,5),1)*(V614))^AD614*(1+OFFSET('玩法产出(新)'!$C$18,MATCH(X614,'玩法产出(新)'!$B$19:$B$25,0),6)*(1+V614)+OFFSET('玩法产出(新)'!$C$18,1+MATCH(X614,'玩法产出(新)'!$B$19:$B$25,0),6)*(V614))^AE614</f>
        <v>527.550431139431</v>
      </c>
      <c r="U614" s="226">
        <f ca="1" t="shared" si="312"/>
        <v>0.178257381208326</v>
      </c>
      <c r="V614" s="226">
        <f ca="1">COUNTIF($X$124:$X614,X614)/(COUNTIF($X$124:$X$723,X614)+1)</f>
        <v>0.77319587628866</v>
      </c>
      <c r="W614" s="19">
        <v>30</v>
      </c>
      <c r="X614" s="19" t="s">
        <v>326</v>
      </c>
      <c r="Y614" s="19">
        <f t="shared" si="318"/>
        <v>50260</v>
      </c>
      <c r="Z614" s="19">
        <f ca="1" t="shared" si="294"/>
        <v>0</v>
      </c>
      <c r="AA614" s="282">
        <f ca="1" t="shared" si="295"/>
        <v>0</v>
      </c>
      <c r="AB614" s="282">
        <f ca="1" t="shared" si="296"/>
        <v>18</v>
      </c>
      <c r="AC614" s="282">
        <f ca="1" t="shared" si="297"/>
        <v>10.36785</v>
      </c>
      <c r="AD614" s="282">
        <f ca="1" t="shared" si="298"/>
        <v>2.5919625</v>
      </c>
      <c r="AE614" s="282">
        <f ca="1" t="shared" si="299"/>
        <v>0.647990625</v>
      </c>
      <c r="AF614" s="19" t="str">
        <f t="shared" si="300"/>
        <v>彩5</v>
      </c>
      <c r="AG614" s="19">
        <f>IFERROR(_xlfn.XLOOKUP(C614+1,[2]基因升级!$E$141:$E$500,[2]基因升级!$D$141:$D$500)-1,AG613)</f>
        <v>115</v>
      </c>
      <c r="AH614" s="19">
        <v>8</v>
      </c>
      <c r="AI614" s="19">
        <f t="shared" si="301"/>
        <v>10.5142500606751</v>
      </c>
      <c r="AJ614" s="19">
        <f t="shared" si="313"/>
        <v>0</v>
      </c>
      <c r="AK614" s="269">
        <v>2.0368</v>
      </c>
      <c r="AL614" s="287">
        <f t="shared" si="322"/>
        <v>21.2799999999997</v>
      </c>
      <c r="AM614" s="287">
        <f t="shared" si="323"/>
        <v>17.6799999999998</v>
      </c>
      <c r="AN614" s="287">
        <f t="shared" si="284"/>
        <v>14.0799999999999</v>
      </c>
      <c r="AO614" s="287">
        <f t="shared" si="319"/>
        <v>10.4799999999999</v>
      </c>
      <c r="AP614" s="287">
        <f t="shared" si="324"/>
        <v>6.88</v>
      </c>
      <c r="AQ614" s="19">
        <f t="shared" si="302"/>
        <v>4.21975065379065</v>
      </c>
      <c r="AR614" s="19">
        <f t="shared" si="303"/>
        <v>3.30754064284298</v>
      </c>
      <c r="AS614" s="19">
        <f t="shared" si="304"/>
        <v>2.59252880125293</v>
      </c>
      <c r="AT614" s="19">
        <f t="shared" si="305"/>
        <v>2.03208556178127</v>
      </c>
      <c r="AU614" s="19">
        <f t="shared" si="306"/>
        <v>1.59279685857462</v>
      </c>
      <c r="AV614" s="232">
        <f t="shared" si="286"/>
        <v>0.0399999999999991</v>
      </c>
      <c r="AW614" s="232">
        <f t="shared" si="287"/>
        <v>0.0399999999999991</v>
      </c>
      <c r="AX614" s="232">
        <f t="shared" si="288"/>
        <v>0.0399999999999991</v>
      </c>
      <c r="AY614" s="232">
        <f t="shared" si="289"/>
        <v>0.0399999999999991</v>
      </c>
      <c r="AZ614" s="232">
        <f t="shared" si="290"/>
        <v>0.04</v>
      </c>
    </row>
    <row r="615" spans="1:52">
      <c r="A615" s="269"/>
      <c r="C615" s="19">
        <v>492</v>
      </c>
      <c r="D615" s="86">
        <f ca="1" t="shared" si="314"/>
        <v>286.376595611695</v>
      </c>
      <c r="E615" s="251">
        <f ca="1" t="shared" si="291"/>
        <v>0.367815859551759</v>
      </c>
      <c r="F615" s="269">
        <f ca="1" t="shared" si="307"/>
        <v>514.005771443035</v>
      </c>
      <c r="G615" s="283">
        <f ca="1" t="shared" si="308"/>
        <v>189.059474637885</v>
      </c>
      <c r="H615" s="279">
        <f ca="1" t="shared" si="309"/>
        <v>0.189411040462289</v>
      </c>
      <c r="I615" s="269">
        <f ca="1">SUM($J$125:J615)/SUM($H$125:H615)</f>
        <v>0.464736542648559</v>
      </c>
      <c r="J615" s="284">
        <f t="shared" si="315"/>
        <v>0.0506299598222597</v>
      </c>
      <c r="K615" s="19">
        <f t="shared" si="317"/>
        <v>50100</v>
      </c>
      <c r="L615" s="269">
        <f t="shared" si="310"/>
        <v>3.50499999999995</v>
      </c>
      <c r="M615" s="226">
        <f ca="1" t="shared" si="311"/>
        <v>903.936</v>
      </c>
      <c r="N615" s="280">
        <f ca="1" t="shared" si="316"/>
        <v>0.138781080640015</v>
      </c>
      <c r="O615" s="226">
        <f t="shared" si="321"/>
        <v>422.4</v>
      </c>
      <c r="P615" s="19">
        <f ca="1" t="shared" si="285"/>
        <v>12.4</v>
      </c>
      <c r="Q615" s="226">
        <f ca="1" t="shared" si="320"/>
        <v>2.14</v>
      </c>
      <c r="R615" s="269">
        <f ca="1" t="shared" si="292"/>
        <v>0.988063775610161</v>
      </c>
      <c r="S615" s="266">
        <f ca="1" t="shared" si="293"/>
        <v>92.8235374995356</v>
      </c>
      <c r="T615" s="226">
        <f ca="1">(1+OFFSET('玩法产出(新)'!$C$18,MATCH(X615,'玩法产出(新)'!$B$19:$B$25,0),1)*(1-V615)+OFFSET('玩法产出(新)'!$C$18,1+MATCH(X615,'玩法产出(新)'!$B$19:$B$25,0),1)*(V615))^AA615*(1+OFFSET('玩法产出(新)'!$C$18,MATCH(X615,'玩法产出(新)'!$B$19:$B$25,0),3)*(1-V615)+OFFSET('玩法产出(新)'!$C$18,1+MATCH(X615,'玩法产出(新)'!$B$19:$B$25,0),3)*(V615))^AB615*(1+OFFSET('玩法产出(新)'!$C$18,MATCH(X615,'玩法产出(新)'!$B$19:$B$25,0),4)*(1-V615)+OFFSET('玩法产出(新)'!$C$18,1+MATCH(X615,'玩法产出(新)'!$B$19:$B$25,0),4)*(V615))^AC615*(1+OFFSET('玩法产出(新)'!$C$18,MATCH(X615,'玩法产出(新)'!$B$19:$B$25,0),5)*(1+V615)+OFFSET('玩法产出(新)'!$C$18,1+MATCH(X615,'玩法产出(新)'!$B$19:$B$25,5),1)*(V615))^AD615*(1+OFFSET('玩法产出(新)'!$C$18,MATCH(X615,'玩法产出(新)'!$B$19:$B$25,0),6)*(1+V615)+OFFSET('玩法产出(新)'!$C$18,1+MATCH(X615,'玩法产出(新)'!$B$19:$B$25,0),6)*(V615))^AE615</f>
        <v>533.956883812935</v>
      </c>
      <c r="U615" s="226">
        <f ca="1" t="shared" si="312"/>
        <v>0.178404819089484</v>
      </c>
      <c r="V615" s="226">
        <f ca="1">COUNTIF($X$124:$X615,X615)/(COUNTIF($X$124:$X$723,X615)+1)</f>
        <v>0.775257731958763</v>
      </c>
      <c r="W615" s="19">
        <v>30</v>
      </c>
      <c r="X615" s="19" t="s">
        <v>326</v>
      </c>
      <c r="Y615" s="19">
        <f t="shared" si="318"/>
        <v>50360</v>
      </c>
      <c r="Z615" s="19">
        <f ca="1" t="shared" si="294"/>
        <v>0</v>
      </c>
      <c r="AA615" s="282">
        <f ca="1" t="shared" si="295"/>
        <v>0</v>
      </c>
      <c r="AB615" s="282">
        <f ca="1" t="shared" si="296"/>
        <v>18</v>
      </c>
      <c r="AC615" s="282">
        <f ca="1" t="shared" si="297"/>
        <v>10.3887</v>
      </c>
      <c r="AD615" s="282">
        <f ca="1" t="shared" si="298"/>
        <v>2.597175</v>
      </c>
      <c r="AE615" s="282">
        <f ca="1" t="shared" si="299"/>
        <v>0.64929375</v>
      </c>
      <c r="AF615" s="19" t="str">
        <f t="shared" si="300"/>
        <v>彩5</v>
      </c>
      <c r="AG615" s="19">
        <f>IFERROR(_xlfn.XLOOKUP(C615+1,[2]基因升级!$E$141:$E$500,[2]基因升级!$D$141:$D$500)-1,AG614)</f>
        <v>116</v>
      </c>
      <c r="AH615" s="19">
        <v>8</v>
      </c>
      <c r="AI615" s="19">
        <f t="shared" si="301"/>
        <v>10.5142500606751</v>
      </c>
      <c r="AJ615" s="19">
        <f t="shared" si="313"/>
        <v>0</v>
      </c>
      <c r="AK615" s="269">
        <v>2.0368</v>
      </c>
      <c r="AL615" s="287">
        <f t="shared" si="322"/>
        <v>21.3199999999997</v>
      </c>
      <c r="AM615" s="287">
        <f t="shared" si="323"/>
        <v>17.7199999999998</v>
      </c>
      <c r="AN615" s="287">
        <f t="shared" si="284"/>
        <v>14.1199999999999</v>
      </c>
      <c r="AO615" s="287">
        <f t="shared" si="319"/>
        <v>10.5199999999999</v>
      </c>
      <c r="AP615" s="287">
        <f t="shared" si="324"/>
        <v>6.92</v>
      </c>
      <c r="AQ615" s="19">
        <f t="shared" si="302"/>
        <v>4.23118622616355</v>
      </c>
      <c r="AR615" s="19">
        <f t="shared" si="303"/>
        <v>3.31650411568789</v>
      </c>
      <c r="AS615" s="19">
        <f t="shared" si="304"/>
        <v>2.59955458385668</v>
      </c>
      <c r="AT615" s="19">
        <f t="shared" si="305"/>
        <v>2.03759253681753</v>
      </c>
      <c r="AU615" s="19">
        <f t="shared" si="306"/>
        <v>1.59711335621772</v>
      </c>
      <c r="AV615" s="232">
        <f t="shared" si="286"/>
        <v>0.0399999999999991</v>
      </c>
      <c r="AW615" s="232">
        <f t="shared" si="287"/>
        <v>0.0399999999999991</v>
      </c>
      <c r="AX615" s="232">
        <f t="shared" si="288"/>
        <v>0.0399999999999991</v>
      </c>
      <c r="AY615" s="232">
        <f t="shared" si="289"/>
        <v>0.0399999999999991</v>
      </c>
      <c r="AZ615" s="232">
        <f t="shared" si="290"/>
        <v>0.04</v>
      </c>
    </row>
    <row r="616" spans="1:52">
      <c r="A616" s="269"/>
      <c r="C616" s="19">
        <v>493</v>
      </c>
      <c r="D616" s="86">
        <f ca="1" t="shared" si="314"/>
        <v>286.74317887365</v>
      </c>
      <c r="E616" s="251">
        <f ca="1" t="shared" si="291"/>
        <v>0.366583261954179</v>
      </c>
      <c r="F616" s="269">
        <f ca="1" t="shared" si="307"/>
        <v>516.24699038876</v>
      </c>
      <c r="G616" s="283">
        <f ca="1" t="shared" si="308"/>
        <v>189.247505710739</v>
      </c>
      <c r="H616" s="279">
        <f ca="1" t="shared" si="309"/>
        <v>0.188031072854244</v>
      </c>
      <c r="I616" s="269">
        <f ca="1">SUM($J$125:J616)/SUM($H$125:H616)</f>
        <v>0.464530994945983</v>
      </c>
      <c r="J616" s="284">
        <f t="shared" si="315"/>
        <v>0.0505409977175191</v>
      </c>
      <c r="K616" s="19">
        <f t="shared" si="317"/>
        <v>50200</v>
      </c>
      <c r="L616" s="269">
        <f t="shared" si="310"/>
        <v>3.50999999999995</v>
      </c>
      <c r="M616" s="226">
        <f ca="1" t="shared" si="311"/>
        <v>912.384</v>
      </c>
      <c r="N616" s="280">
        <f ca="1" t="shared" si="316"/>
        <v>0.137490075136711</v>
      </c>
      <c r="O616" s="226">
        <f t="shared" si="321"/>
        <v>422.4</v>
      </c>
      <c r="P616" s="19">
        <f ca="1" t="shared" si="285"/>
        <v>12.6</v>
      </c>
      <c r="Q616" s="226">
        <f ca="1" t="shared" si="320"/>
        <v>2.16</v>
      </c>
      <c r="R616" s="269">
        <f ca="1" t="shared" si="292"/>
        <v>0.989964381370919</v>
      </c>
      <c r="S616" s="266">
        <f ca="1" t="shared" si="293"/>
        <v>93.0020896886355</v>
      </c>
      <c r="T616" s="226">
        <f ca="1">(1+OFFSET('玩法产出(新)'!$C$18,MATCH(X616,'玩法产出(新)'!$B$19:$B$25,0),1)*(1-V616)+OFFSET('玩法产出(新)'!$C$18,1+MATCH(X616,'玩法产出(新)'!$B$19:$B$25,0),1)*(V616))^AA616*(1+OFFSET('玩法产出(新)'!$C$18,MATCH(X616,'玩法产出(新)'!$B$19:$B$25,0),3)*(1-V616)+OFFSET('玩法产出(新)'!$C$18,1+MATCH(X616,'玩法产出(新)'!$B$19:$B$25,0),3)*(V616))^AB616*(1+OFFSET('玩法产出(新)'!$C$18,MATCH(X616,'玩法产出(新)'!$B$19:$B$25,0),4)*(1-V616)+OFFSET('玩法产出(新)'!$C$18,1+MATCH(X616,'玩法产出(新)'!$B$19:$B$25,0),4)*(V616))^AC616*(1+OFFSET('玩法产出(新)'!$C$18,MATCH(X616,'玩法产出(新)'!$B$19:$B$25,0),5)*(1+V616)+OFFSET('玩法产出(新)'!$C$18,1+MATCH(X616,'玩法产出(新)'!$B$19:$B$25,5),1)*(V616))^AD616*(1+OFFSET('玩法产出(新)'!$C$18,MATCH(X616,'玩法产出(新)'!$B$19:$B$25,0),6)*(1+V616)+OFFSET('玩法产出(新)'!$C$18,1+MATCH(X616,'玩法产出(新)'!$B$19:$B$25,0),6)*(V616))^AE616</f>
        <v>540.446523680796</v>
      </c>
      <c r="U616" s="226">
        <f ca="1" t="shared" si="312"/>
        <v>0.178552189099949</v>
      </c>
      <c r="V616" s="226">
        <f ca="1">COUNTIF($X$124:$X616,X616)/(COUNTIF($X$124:$X$723,X616)+1)</f>
        <v>0.777319587628866</v>
      </c>
      <c r="W616" s="19">
        <v>30</v>
      </c>
      <c r="X616" s="19" t="s">
        <v>326</v>
      </c>
      <c r="Y616" s="19">
        <f t="shared" si="318"/>
        <v>50460</v>
      </c>
      <c r="Z616" s="19">
        <f ca="1" t="shared" si="294"/>
        <v>0</v>
      </c>
      <c r="AA616" s="282">
        <f ca="1" t="shared" si="295"/>
        <v>0</v>
      </c>
      <c r="AB616" s="282">
        <f ca="1" t="shared" si="296"/>
        <v>18</v>
      </c>
      <c r="AC616" s="282">
        <f ca="1" t="shared" si="297"/>
        <v>10.40955</v>
      </c>
      <c r="AD616" s="282">
        <f ca="1" t="shared" si="298"/>
        <v>2.6023875</v>
      </c>
      <c r="AE616" s="282">
        <f ca="1" t="shared" si="299"/>
        <v>0.650596875</v>
      </c>
      <c r="AF616" s="19" t="str">
        <f t="shared" si="300"/>
        <v>彩5</v>
      </c>
      <c r="AG616" s="19">
        <f>IFERROR(_xlfn.XLOOKUP(C616+1,[2]基因升级!$E$141:$E$500,[2]基因升级!$D$141:$D$500)-1,AG615)</f>
        <v>116</v>
      </c>
      <c r="AH616" s="19">
        <v>8</v>
      </c>
      <c r="AI616" s="19">
        <f t="shared" si="301"/>
        <v>10.5142500606751</v>
      </c>
      <c r="AJ616" s="19">
        <f t="shared" si="313"/>
        <v>0</v>
      </c>
      <c r="AK616" s="269">
        <v>2.0368</v>
      </c>
      <c r="AL616" s="287">
        <f t="shared" si="322"/>
        <v>21.3599999999997</v>
      </c>
      <c r="AM616" s="287">
        <f t="shared" si="323"/>
        <v>17.7599999999998</v>
      </c>
      <c r="AN616" s="287">
        <f t="shared" si="284"/>
        <v>14.1599999999999</v>
      </c>
      <c r="AO616" s="287">
        <f t="shared" si="319"/>
        <v>10.5599999999999</v>
      </c>
      <c r="AP616" s="287">
        <f t="shared" si="324"/>
        <v>6.96</v>
      </c>
      <c r="AQ616" s="19">
        <f t="shared" si="302"/>
        <v>4.24265278906794</v>
      </c>
      <c r="AR616" s="19">
        <f t="shared" si="303"/>
        <v>3.32549187964638</v>
      </c>
      <c r="AS616" s="19">
        <f t="shared" si="304"/>
        <v>2.60659940641137</v>
      </c>
      <c r="AT616" s="19">
        <f t="shared" si="305"/>
        <v>2.04311443581892</v>
      </c>
      <c r="AU616" s="19">
        <f t="shared" si="306"/>
        <v>1.60144155161864</v>
      </c>
      <c r="AV616" s="232">
        <f t="shared" si="286"/>
        <v>0.0399999999999991</v>
      </c>
      <c r="AW616" s="232">
        <f t="shared" si="287"/>
        <v>0.0399999999999991</v>
      </c>
      <c r="AX616" s="232">
        <f t="shared" si="288"/>
        <v>0.0399999999999991</v>
      </c>
      <c r="AY616" s="232">
        <f t="shared" si="289"/>
        <v>0.0399999999999991</v>
      </c>
      <c r="AZ616" s="232">
        <f t="shared" si="290"/>
        <v>0.04</v>
      </c>
    </row>
    <row r="617" spans="1:52">
      <c r="A617" s="269"/>
      <c r="C617" s="19">
        <v>494</v>
      </c>
      <c r="D617" s="86">
        <f ca="1" t="shared" si="314"/>
        <v>287.108553588056</v>
      </c>
      <c r="E617" s="251">
        <f ca="1" t="shared" si="291"/>
        <v>0.365374714406173</v>
      </c>
      <c r="F617" s="269">
        <f ca="1" t="shared" si="307"/>
        <v>518.465491630168</v>
      </c>
      <c r="G617" s="283">
        <f ca="1" t="shared" si="308"/>
        <v>189.434180933829</v>
      </c>
      <c r="H617" s="279">
        <f ca="1" t="shared" si="309"/>
        <v>0.186675223089566</v>
      </c>
      <c r="I617" s="269">
        <f ca="1">SUM($J$125:J617)/SUM($H$125:H617)</f>
        <v>0.464328892585579</v>
      </c>
      <c r="J617" s="284">
        <f t="shared" si="315"/>
        <v>0.0504523556095791</v>
      </c>
      <c r="K617" s="19">
        <f t="shared" si="317"/>
        <v>50300</v>
      </c>
      <c r="L617" s="269">
        <f t="shared" si="310"/>
        <v>3.51499999999995</v>
      </c>
      <c r="M617" s="226">
        <f ca="1" t="shared" si="311"/>
        <v>920.831999999999</v>
      </c>
      <c r="N617" s="280">
        <f ca="1" t="shared" si="316"/>
        <v>0.136222867480001</v>
      </c>
      <c r="O617" s="226">
        <f t="shared" si="321"/>
        <v>422.4</v>
      </c>
      <c r="P617" s="19">
        <f ca="1" t="shared" si="285"/>
        <v>12.8</v>
      </c>
      <c r="Q617" s="226">
        <f ca="1" t="shared" si="320"/>
        <v>2.18</v>
      </c>
      <c r="R617" s="269">
        <f ca="1" t="shared" si="292"/>
        <v>0.991866555095884</v>
      </c>
      <c r="S617" s="266">
        <f ca="1" t="shared" si="293"/>
        <v>93.1807891799521</v>
      </c>
      <c r="T617" s="226">
        <f ca="1">(1+OFFSET('玩法产出(新)'!$C$18,MATCH(X617,'玩法产出(新)'!$B$19:$B$25,0),1)*(1-V617)+OFFSET('玩法产出(新)'!$C$18,1+MATCH(X617,'玩法产出(新)'!$B$19:$B$25,0),1)*(V617))^AA617*(1+OFFSET('玩法产出(新)'!$C$18,MATCH(X617,'玩法产出(新)'!$B$19:$B$25,0),3)*(1-V617)+OFFSET('玩法产出(新)'!$C$18,1+MATCH(X617,'玩法产出(新)'!$B$19:$B$25,0),3)*(V617))^AB617*(1+OFFSET('玩法产出(新)'!$C$18,MATCH(X617,'玩法产出(新)'!$B$19:$B$25,0),4)*(1-V617)+OFFSET('玩法产出(新)'!$C$18,1+MATCH(X617,'玩法产出(新)'!$B$19:$B$25,0),4)*(V617))^AC617*(1+OFFSET('玩法产出(新)'!$C$18,MATCH(X617,'玩法产出(新)'!$B$19:$B$25,0),5)*(1+V617)+OFFSET('玩法产出(新)'!$C$18,1+MATCH(X617,'玩法产出(新)'!$B$19:$B$25,5),1)*(V617))^AD617*(1+OFFSET('玩法产出(新)'!$C$18,MATCH(X617,'玩法产出(新)'!$B$19:$B$25,0),6)*(1+V617)+OFFSET('玩法产出(新)'!$C$18,1+MATCH(X617,'玩法产出(新)'!$B$19:$B$25,0),6)*(V617))^AE617</f>
        <v>547.020489481463</v>
      </c>
      <c r="U617" s="226">
        <f ca="1" t="shared" si="312"/>
        <v>0.178699491316593</v>
      </c>
      <c r="V617" s="226">
        <f ca="1">COUNTIF($X$124:$X617,X617)/(COUNTIF($X$124:$X$723,X617)+1)</f>
        <v>0.779381443298969</v>
      </c>
      <c r="W617" s="19">
        <v>30</v>
      </c>
      <c r="X617" s="19" t="s">
        <v>326</v>
      </c>
      <c r="Y617" s="19">
        <f t="shared" si="318"/>
        <v>50560</v>
      </c>
      <c r="Z617" s="19">
        <f ca="1" t="shared" si="294"/>
        <v>0</v>
      </c>
      <c r="AA617" s="282">
        <f ca="1" t="shared" si="295"/>
        <v>0</v>
      </c>
      <c r="AB617" s="282">
        <f ca="1" t="shared" si="296"/>
        <v>18</v>
      </c>
      <c r="AC617" s="282">
        <f ca="1" t="shared" si="297"/>
        <v>10.4304</v>
      </c>
      <c r="AD617" s="282">
        <f ca="1" t="shared" si="298"/>
        <v>2.6076</v>
      </c>
      <c r="AE617" s="282">
        <f ca="1" t="shared" si="299"/>
        <v>0.6519</v>
      </c>
      <c r="AF617" s="19" t="str">
        <f t="shared" si="300"/>
        <v>彩5</v>
      </c>
      <c r="AG617" s="19">
        <f>IFERROR(_xlfn.XLOOKUP(C617+1,[2]基因升级!$E$141:$E$500,[2]基因升级!$D$141:$D$500)-1,AG616)</f>
        <v>116</v>
      </c>
      <c r="AH617" s="19">
        <v>8</v>
      </c>
      <c r="AI617" s="19">
        <f t="shared" si="301"/>
        <v>10.5142500606751</v>
      </c>
      <c r="AJ617" s="19">
        <f t="shared" si="313"/>
        <v>0</v>
      </c>
      <c r="AK617" s="269">
        <v>2.0368</v>
      </c>
      <c r="AL617" s="287">
        <f t="shared" si="322"/>
        <v>21.3999999999997</v>
      </c>
      <c r="AM617" s="287">
        <f t="shared" si="323"/>
        <v>17.7999999999998</v>
      </c>
      <c r="AN617" s="287">
        <f t="shared" si="284"/>
        <v>14.1999999999999</v>
      </c>
      <c r="AO617" s="287">
        <f t="shared" si="319"/>
        <v>10.5999999999999</v>
      </c>
      <c r="AP617" s="287">
        <f t="shared" si="324"/>
        <v>7</v>
      </c>
      <c r="AQ617" s="19">
        <f t="shared" si="302"/>
        <v>4.2541504264885</v>
      </c>
      <c r="AR617" s="19">
        <f t="shared" si="303"/>
        <v>3.33450400054766</v>
      </c>
      <c r="AS617" s="19">
        <f t="shared" si="304"/>
        <v>2.61366332051549</v>
      </c>
      <c r="AT617" s="19">
        <f t="shared" si="305"/>
        <v>2.04865129922954</v>
      </c>
      <c r="AU617" s="19">
        <f t="shared" si="306"/>
        <v>1.60578147647843</v>
      </c>
      <c r="AV617" s="232">
        <f t="shared" si="286"/>
        <v>0.0399999999999991</v>
      </c>
      <c r="AW617" s="232">
        <f t="shared" si="287"/>
        <v>0.0399999999999991</v>
      </c>
      <c r="AX617" s="232">
        <f t="shared" si="288"/>
        <v>0.0399999999999991</v>
      </c>
      <c r="AY617" s="232">
        <f t="shared" si="289"/>
        <v>0.0399999999999991</v>
      </c>
      <c r="AZ617" s="232">
        <f t="shared" si="290"/>
        <v>0.04</v>
      </c>
    </row>
    <row r="618" spans="1:52">
      <c r="A618" s="269"/>
      <c r="C618" s="19">
        <v>495</v>
      </c>
      <c r="D618" s="86">
        <f ca="1" t="shared" si="314"/>
        <v>287.472743151264</v>
      </c>
      <c r="E618" s="251">
        <f ca="1" t="shared" si="291"/>
        <v>0.364189563208282</v>
      </c>
      <c r="F618" s="269">
        <f ca="1" t="shared" si="307"/>
        <v>520.661608478814</v>
      </c>
      <c r="G618" s="283">
        <f ca="1" t="shared" si="308"/>
        <v>189.619523771221</v>
      </c>
      <c r="H618" s="279">
        <f ca="1" t="shared" si="309"/>
        <v>0.185342837392511</v>
      </c>
      <c r="I618" s="269">
        <f ca="1">SUM($J$125:J618)/SUM($H$125:H618)</f>
        <v>0.464130161390056</v>
      </c>
      <c r="J618" s="284">
        <f t="shared" si="315"/>
        <v>0.0503640317368195</v>
      </c>
      <c r="K618" s="19">
        <f t="shared" si="317"/>
        <v>50400</v>
      </c>
      <c r="L618" s="269">
        <f t="shared" si="310"/>
        <v>3.51999999999995</v>
      </c>
      <c r="M618" s="226">
        <f ca="1" t="shared" si="311"/>
        <v>929.28</v>
      </c>
      <c r="N618" s="280">
        <f ca="1" t="shared" si="316"/>
        <v>0.134978805655678</v>
      </c>
      <c r="O618" s="226">
        <f t="shared" si="321"/>
        <v>422.4</v>
      </c>
      <c r="P618" s="19">
        <f ca="1" t="shared" si="285"/>
        <v>13</v>
      </c>
      <c r="Q618" s="226">
        <f ca="1" t="shared" si="320"/>
        <v>2.2</v>
      </c>
      <c r="R618" s="269">
        <f ca="1" t="shared" si="292"/>
        <v>0.993770296064234</v>
      </c>
      <c r="S618" s="266">
        <f ca="1" t="shared" si="293"/>
        <v>93.3596359057679</v>
      </c>
      <c r="T618" s="226">
        <f ca="1">(1+OFFSET('玩法产出(新)'!$C$18,MATCH(X618,'玩法产出(新)'!$B$19:$B$25,0),1)*(1-V618)+OFFSET('玩法产出(新)'!$C$18,1+MATCH(X618,'玩法产出(新)'!$B$19:$B$25,0),1)*(V618))^AA618*(1+OFFSET('玩法产出(新)'!$C$18,MATCH(X618,'玩法产出(新)'!$B$19:$B$25,0),3)*(1-V618)+OFFSET('玩法产出(新)'!$C$18,1+MATCH(X618,'玩法产出(新)'!$B$19:$B$25,0),3)*(V618))^AB618*(1+OFFSET('玩法产出(新)'!$C$18,MATCH(X618,'玩法产出(新)'!$B$19:$B$25,0),4)*(1-V618)+OFFSET('玩法产出(新)'!$C$18,1+MATCH(X618,'玩法产出(新)'!$B$19:$B$25,0),4)*(V618))^AC618*(1+OFFSET('玩法产出(新)'!$C$18,MATCH(X618,'玩法产出(新)'!$B$19:$B$25,0),5)*(1+V618)+OFFSET('玩法产出(新)'!$C$18,1+MATCH(X618,'玩法产出(新)'!$B$19:$B$25,5),1)*(V618))^AD618*(1+OFFSET('玩法产出(新)'!$C$18,MATCH(X618,'玩法产出(新)'!$B$19:$B$25,0),6)*(1+V618)+OFFSET('玩法产出(新)'!$C$18,1+MATCH(X618,'玩法产出(新)'!$B$19:$B$25,0),6)*(V618))^AE618</f>
        <v>553.679936248229</v>
      </c>
      <c r="U618" s="226">
        <f ca="1" t="shared" si="312"/>
        <v>0.178846725815785</v>
      </c>
      <c r="V618" s="226">
        <f ca="1">COUNTIF($X$124:$X618,X618)/(COUNTIF($X$124:$X$723,X618)+1)</f>
        <v>0.781443298969072</v>
      </c>
      <c r="W618" s="19">
        <v>30</v>
      </c>
      <c r="X618" s="19" t="s">
        <v>326</v>
      </c>
      <c r="Y618" s="19">
        <f t="shared" si="318"/>
        <v>50660</v>
      </c>
      <c r="Z618" s="19">
        <f ca="1" t="shared" si="294"/>
        <v>0</v>
      </c>
      <c r="AA618" s="282">
        <f ca="1" t="shared" si="295"/>
        <v>0</v>
      </c>
      <c r="AB618" s="282">
        <f ca="1" t="shared" si="296"/>
        <v>18</v>
      </c>
      <c r="AC618" s="282">
        <f ca="1" t="shared" si="297"/>
        <v>10.45125</v>
      </c>
      <c r="AD618" s="282">
        <f ca="1" t="shared" si="298"/>
        <v>2.6128125</v>
      </c>
      <c r="AE618" s="282">
        <f ca="1" t="shared" si="299"/>
        <v>0.653203125</v>
      </c>
      <c r="AF618" s="19" t="str">
        <f t="shared" si="300"/>
        <v>彩5</v>
      </c>
      <c r="AG618" s="19">
        <f>IFERROR(_xlfn.XLOOKUP(C618+1,[2]基因升级!$E$141:$E$500,[2]基因升级!$D$141:$D$500)-1,AG617)</f>
        <v>116</v>
      </c>
      <c r="AH618" s="19">
        <v>8</v>
      </c>
      <c r="AI618" s="19">
        <f t="shared" si="301"/>
        <v>10.5142500606751</v>
      </c>
      <c r="AJ618" s="19">
        <f t="shared" si="313"/>
        <v>0</v>
      </c>
      <c r="AK618" s="269">
        <v>2.0368</v>
      </c>
      <c r="AL618" s="287">
        <f t="shared" si="322"/>
        <v>21.4399999999997</v>
      </c>
      <c r="AM618" s="287">
        <f t="shared" si="323"/>
        <v>17.8399999999998</v>
      </c>
      <c r="AN618" s="287">
        <f t="shared" si="284"/>
        <v>14.2399999999999</v>
      </c>
      <c r="AO618" s="287">
        <f t="shared" si="319"/>
        <v>10.6399999999999</v>
      </c>
      <c r="AP618" s="287">
        <f t="shared" si="324"/>
        <v>7.04</v>
      </c>
      <c r="AQ618" s="19">
        <f t="shared" si="302"/>
        <v>4.26567922263754</v>
      </c>
      <c r="AR618" s="19">
        <f t="shared" si="303"/>
        <v>3.3435405443993</v>
      </c>
      <c r="AS618" s="19">
        <f t="shared" si="304"/>
        <v>2.62074637790735</v>
      </c>
      <c r="AT618" s="19">
        <f t="shared" si="305"/>
        <v>2.05420316760312</v>
      </c>
      <c r="AU618" s="19">
        <f t="shared" si="306"/>
        <v>1.61013316258406</v>
      </c>
      <c r="AV618" s="232">
        <f t="shared" si="286"/>
        <v>0.0399999999999991</v>
      </c>
      <c r="AW618" s="232">
        <f t="shared" si="287"/>
        <v>0.0399999999999991</v>
      </c>
      <c r="AX618" s="232">
        <f t="shared" si="288"/>
        <v>0.0399999999999991</v>
      </c>
      <c r="AY618" s="232">
        <f t="shared" si="289"/>
        <v>0.0399999999999991</v>
      </c>
      <c r="AZ618" s="232">
        <f t="shared" si="290"/>
        <v>0.04</v>
      </c>
    </row>
    <row r="619" spans="1:52">
      <c r="A619" s="269"/>
      <c r="C619" s="19">
        <v>496</v>
      </c>
      <c r="D619" s="86">
        <f ca="1" t="shared" si="314"/>
        <v>287.835770329542</v>
      </c>
      <c r="E619" s="251">
        <f ca="1" t="shared" si="291"/>
        <v>0.363027178277509</v>
      </c>
      <c r="F619" s="269">
        <f ca="1" t="shared" si="307"/>
        <v>522.835667448934</v>
      </c>
      <c r="G619" s="283">
        <f ca="1" t="shared" si="308"/>
        <v>189.803557056825</v>
      </c>
      <c r="H619" s="279">
        <f ca="1" t="shared" si="309"/>
        <v>0.18403328560359</v>
      </c>
      <c r="I619" s="269">
        <f ca="1">SUM($J$125:J619)/SUM($H$125:H619)</f>
        <v>0.46393472935983</v>
      </c>
      <c r="J619" s="284">
        <f t="shared" si="315"/>
        <v>0.0502760243508931</v>
      </c>
      <c r="K619" s="19">
        <f t="shared" si="317"/>
        <v>50500</v>
      </c>
      <c r="L619" s="269">
        <f t="shared" si="310"/>
        <v>3.52499999999995</v>
      </c>
      <c r="M619" s="226">
        <f ca="1" t="shared" si="311"/>
        <v>937.727999999999</v>
      </c>
      <c r="N619" s="280">
        <f ca="1" t="shared" si="316"/>
        <v>0.133757261252711</v>
      </c>
      <c r="O619" s="226">
        <f t="shared" si="321"/>
        <v>422.4</v>
      </c>
      <c r="P619" s="19">
        <f ca="1" t="shared" si="285"/>
        <v>13.2</v>
      </c>
      <c r="Q619" s="226">
        <f ca="1" t="shared" si="320"/>
        <v>2.22</v>
      </c>
      <c r="R619" s="269">
        <f ca="1" t="shared" si="292"/>
        <v>0.995675603555962</v>
      </c>
      <c r="S619" s="266">
        <f ca="1" t="shared" si="293"/>
        <v>93.5386297984418</v>
      </c>
      <c r="T619" s="226">
        <f ca="1">(1+OFFSET('玩法产出(新)'!$C$18,MATCH(X619,'玩法产出(新)'!$B$19:$B$25,0),1)*(1-V619)+OFFSET('玩法产出(新)'!$C$18,1+MATCH(X619,'玩法产出(新)'!$B$19:$B$25,0),1)*(V619))^AA619*(1+OFFSET('玩法产出(新)'!$C$18,MATCH(X619,'玩法产出(新)'!$B$19:$B$25,0),3)*(1-V619)+OFFSET('玩法产出(新)'!$C$18,1+MATCH(X619,'玩法产出(新)'!$B$19:$B$25,0),3)*(V619))^AB619*(1+OFFSET('玩法产出(新)'!$C$18,MATCH(X619,'玩法产出(新)'!$B$19:$B$25,0),4)*(1-V619)+OFFSET('玩法产出(新)'!$C$18,1+MATCH(X619,'玩法产出(新)'!$B$19:$B$25,0),4)*(V619))^AC619*(1+OFFSET('玩法产出(新)'!$C$18,MATCH(X619,'玩法产出(新)'!$B$19:$B$25,0),5)*(1+V619)+OFFSET('玩法产出(新)'!$C$18,1+MATCH(X619,'玩法产出(新)'!$B$19:$B$25,5),1)*(V619))^AD619*(1+OFFSET('玩法产出(新)'!$C$18,MATCH(X619,'玩法产出(新)'!$B$19:$B$25,0),6)*(1+V619)+OFFSET('玩法产出(新)'!$C$18,1+MATCH(X619,'玩法产出(新)'!$B$19:$B$25,0),6)*(V619))^AE619</f>
        <v>560.426035551536</v>
      </c>
      <c r="U619" s="226">
        <f ca="1" t="shared" si="312"/>
        <v>0.178993892673905</v>
      </c>
      <c r="V619" s="226">
        <f ca="1">COUNTIF($X$124:$X619,X619)/(COUNTIF($X$124:$X$723,X619)+1)</f>
        <v>0.783505154639175</v>
      </c>
      <c r="W619" s="19">
        <v>30</v>
      </c>
      <c r="X619" s="19" t="s">
        <v>326</v>
      </c>
      <c r="Y619" s="19">
        <f t="shared" si="318"/>
        <v>50760</v>
      </c>
      <c r="Z619" s="19">
        <f ca="1" t="shared" si="294"/>
        <v>0</v>
      </c>
      <c r="AA619" s="282">
        <f ca="1" t="shared" si="295"/>
        <v>0</v>
      </c>
      <c r="AB619" s="282">
        <f ca="1" t="shared" si="296"/>
        <v>18</v>
      </c>
      <c r="AC619" s="282">
        <f ca="1" t="shared" si="297"/>
        <v>10.4721</v>
      </c>
      <c r="AD619" s="282">
        <f ca="1" t="shared" si="298"/>
        <v>2.618025</v>
      </c>
      <c r="AE619" s="282">
        <f ca="1" t="shared" si="299"/>
        <v>0.65450625</v>
      </c>
      <c r="AF619" s="19" t="str">
        <f t="shared" si="300"/>
        <v>彩5</v>
      </c>
      <c r="AG619" s="19">
        <f>IFERROR(_xlfn.XLOOKUP(C619+1,[2]基因升级!$E$141:$E$500,[2]基因升级!$D$141:$D$500)-1,AG618)</f>
        <v>116</v>
      </c>
      <c r="AH619" s="19">
        <v>8</v>
      </c>
      <c r="AI619" s="19">
        <f t="shared" si="301"/>
        <v>10.5142500606751</v>
      </c>
      <c r="AJ619" s="19">
        <f t="shared" si="313"/>
        <v>0</v>
      </c>
      <c r="AK619" s="269">
        <v>2.0368</v>
      </c>
      <c r="AL619" s="287">
        <f t="shared" si="322"/>
        <v>21.4799999999997</v>
      </c>
      <c r="AM619" s="287">
        <f t="shared" si="323"/>
        <v>17.8799999999998</v>
      </c>
      <c r="AN619" s="287">
        <f t="shared" ref="AN619:AN682" si="325">AM529</f>
        <v>14.2799999999999</v>
      </c>
      <c r="AO619" s="287">
        <f t="shared" si="319"/>
        <v>10.6799999999999</v>
      </c>
      <c r="AP619" s="287">
        <f t="shared" si="324"/>
        <v>7.08</v>
      </c>
      <c r="AQ619" s="19">
        <f t="shared" si="302"/>
        <v>4.27723926195555</v>
      </c>
      <c r="AR619" s="19">
        <f t="shared" si="303"/>
        <v>3.35260157738779</v>
      </c>
      <c r="AS619" s="19">
        <f t="shared" si="304"/>
        <v>2.62784863046549</v>
      </c>
      <c r="AT619" s="19">
        <f t="shared" si="305"/>
        <v>2.05977008160328</v>
      </c>
      <c r="AU619" s="19">
        <f t="shared" si="306"/>
        <v>1.61449664180865</v>
      </c>
      <c r="AV619" s="232">
        <f t="shared" si="286"/>
        <v>0.0399999999999991</v>
      </c>
      <c r="AW619" s="232">
        <f t="shared" si="287"/>
        <v>0.0399999999999991</v>
      </c>
      <c r="AX619" s="232">
        <f t="shared" si="288"/>
        <v>0.0399999999999991</v>
      </c>
      <c r="AY619" s="232">
        <f t="shared" si="289"/>
        <v>0.0399999999999991</v>
      </c>
      <c r="AZ619" s="232">
        <f t="shared" si="290"/>
        <v>0.04</v>
      </c>
    </row>
    <row r="620" spans="1:52">
      <c r="A620" s="269"/>
      <c r="C620" s="19">
        <v>497</v>
      </c>
      <c r="D620" s="86">
        <f ca="1" t="shared" si="314"/>
        <v>288.19765728163</v>
      </c>
      <c r="E620" s="251">
        <f ca="1" t="shared" si="291"/>
        <v>0.361886952088323</v>
      </c>
      <c r="F620" s="269">
        <f ca="1" t="shared" si="307"/>
        <v>524.987988432855</v>
      </c>
      <c r="G620" s="283">
        <f ca="1" t="shared" si="308"/>
        <v>189.986303016946</v>
      </c>
      <c r="H620" s="279">
        <f ca="1" t="shared" si="309"/>
        <v>0.182745960121053</v>
      </c>
      <c r="I620" s="269">
        <f ca="1">SUM($J$125:J620)/SUM($H$125:H620)</f>
        <v>0.463742526590763</v>
      </c>
      <c r="J620" s="284">
        <f t="shared" si="315"/>
        <v>0.0501883317162992</v>
      </c>
      <c r="K620" s="19">
        <f t="shared" si="317"/>
        <v>50600</v>
      </c>
      <c r="L620" s="269">
        <f t="shared" si="310"/>
        <v>3.52999999999995</v>
      </c>
      <c r="M620" s="226">
        <f ca="1" t="shared" si="311"/>
        <v>946.175999999999</v>
      </c>
      <c r="N620" s="280">
        <f ca="1" t="shared" si="316"/>
        <v>0.132557628404768</v>
      </c>
      <c r="O620" s="226">
        <f t="shared" si="321"/>
        <v>422.4</v>
      </c>
      <c r="P620" s="19">
        <f ca="1" t="shared" si="285"/>
        <v>13.4</v>
      </c>
      <c r="Q620" s="226">
        <f ca="1" t="shared" si="320"/>
        <v>2.24</v>
      </c>
      <c r="R620" s="269">
        <f ca="1" t="shared" si="292"/>
        <v>0.997582476851871</v>
      </c>
      <c r="S620" s="266">
        <f ca="1" t="shared" si="293"/>
        <v>93.717770790409</v>
      </c>
      <c r="T620" s="226">
        <f ca="1">(1+OFFSET('玩法产出(新)'!$C$18,MATCH(X620,'玩法产出(新)'!$B$19:$B$25,0),1)*(1-V620)+OFFSET('玩法产出(新)'!$C$18,1+MATCH(X620,'玩法产出(新)'!$B$19:$B$25,0),1)*(V620))^AA620*(1+OFFSET('玩法产出(新)'!$C$18,MATCH(X620,'玩法产出(新)'!$B$19:$B$25,0),3)*(1-V620)+OFFSET('玩法产出(新)'!$C$18,1+MATCH(X620,'玩法产出(新)'!$B$19:$B$25,0),3)*(V620))^AB620*(1+OFFSET('玩法产出(新)'!$C$18,MATCH(X620,'玩法产出(新)'!$B$19:$B$25,0),4)*(1-V620)+OFFSET('玩法产出(新)'!$C$18,1+MATCH(X620,'玩法产出(新)'!$B$19:$B$25,0),4)*(V620))^AC620*(1+OFFSET('玩法产出(新)'!$C$18,MATCH(X620,'玩法产出(新)'!$B$19:$B$25,0),5)*(1+V620)+OFFSET('玩法产出(新)'!$C$18,1+MATCH(X620,'玩法产出(新)'!$B$19:$B$25,5),1)*(V620))^AD620*(1+OFFSET('玩法产出(新)'!$C$18,MATCH(X620,'玩法产出(新)'!$B$19:$B$25,0),6)*(1+V620)+OFFSET('玩法产出(新)'!$C$18,1+MATCH(X620,'玩法产出(新)'!$B$19:$B$25,0),6)*(V620))^AE620</f>
        <v>567.259975745019</v>
      </c>
      <c r="U620" s="226">
        <f ca="1" t="shared" si="312"/>
        <v>0.179140991967255</v>
      </c>
      <c r="V620" s="226">
        <f ca="1">COUNTIF($X$124:$X620,X620)/(COUNTIF($X$124:$X$723,X620)+1)</f>
        <v>0.785567010309278</v>
      </c>
      <c r="W620" s="19">
        <v>30</v>
      </c>
      <c r="X620" s="19" t="s">
        <v>326</v>
      </c>
      <c r="Y620" s="19">
        <f t="shared" si="318"/>
        <v>50860</v>
      </c>
      <c r="Z620" s="19">
        <f ca="1" t="shared" si="294"/>
        <v>0</v>
      </c>
      <c r="AA620" s="282">
        <f ca="1" t="shared" si="295"/>
        <v>0</v>
      </c>
      <c r="AB620" s="282">
        <f ca="1" t="shared" si="296"/>
        <v>18</v>
      </c>
      <c r="AC620" s="282">
        <f ca="1" t="shared" si="297"/>
        <v>10.49295</v>
      </c>
      <c r="AD620" s="282">
        <f ca="1" t="shared" si="298"/>
        <v>2.6232375</v>
      </c>
      <c r="AE620" s="282">
        <f ca="1" t="shared" si="299"/>
        <v>0.655809375</v>
      </c>
      <c r="AF620" s="19" t="str">
        <f t="shared" si="300"/>
        <v>彩5</v>
      </c>
      <c r="AG620" s="19">
        <f>IFERROR(_xlfn.XLOOKUP(C620+1,[2]基因升级!$E$141:$E$500,[2]基因升级!$D$141:$D$500)-1,AG619)</f>
        <v>116</v>
      </c>
      <c r="AH620" s="19">
        <v>8</v>
      </c>
      <c r="AI620" s="19">
        <f t="shared" si="301"/>
        <v>10.5142500606751</v>
      </c>
      <c r="AJ620" s="19">
        <f t="shared" si="313"/>
        <v>0</v>
      </c>
      <c r="AK620" s="269">
        <v>2.0368</v>
      </c>
      <c r="AL620" s="287">
        <f t="shared" si="322"/>
        <v>21.5199999999997</v>
      </c>
      <c r="AM620" s="287">
        <f t="shared" si="323"/>
        <v>17.9199999999998</v>
      </c>
      <c r="AN620" s="287">
        <f t="shared" si="325"/>
        <v>14.3199999999999</v>
      </c>
      <c r="AO620" s="287">
        <f t="shared" si="319"/>
        <v>10.7199999999999</v>
      </c>
      <c r="AP620" s="287">
        <f t="shared" si="324"/>
        <v>7.12</v>
      </c>
      <c r="AQ620" s="19">
        <f t="shared" si="302"/>
        <v>4.28883062911189</v>
      </c>
      <c r="AR620" s="19">
        <f t="shared" si="303"/>
        <v>3.36168716587897</v>
      </c>
      <c r="AS620" s="19">
        <f t="shared" si="304"/>
        <v>2.63497013020901</v>
      </c>
      <c r="AT620" s="19">
        <f t="shared" si="305"/>
        <v>2.06535208200384</v>
      </c>
      <c r="AU620" s="19">
        <f t="shared" si="306"/>
        <v>1.61887194611167</v>
      </c>
      <c r="AV620" s="232">
        <f t="shared" si="286"/>
        <v>0.0399999999999991</v>
      </c>
      <c r="AW620" s="232">
        <f t="shared" si="287"/>
        <v>0.0399999999999991</v>
      </c>
      <c r="AX620" s="232">
        <f t="shared" si="288"/>
        <v>0.0399999999999991</v>
      </c>
      <c r="AY620" s="232">
        <f t="shared" si="289"/>
        <v>0.0399999999999991</v>
      </c>
      <c r="AZ620" s="232">
        <f t="shared" si="290"/>
        <v>0.04</v>
      </c>
    </row>
    <row r="621" spans="1:52">
      <c r="A621" s="269"/>
      <c r="C621" s="19">
        <v>498</v>
      </c>
      <c r="D621" s="86">
        <f ca="1" t="shared" si="314"/>
        <v>288.5584255803</v>
      </c>
      <c r="E621" s="251">
        <f ca="1" t="shared" si="291"/>
        <v>0.360768298670291</v>
      </c>
      <c r="F621" s="269">
        <f ca="1" t="shared" si="307"/>
        <v>527.118884870869</v>
      </c>
      <c r="G621" s="283">
        <f ca="1" t="shared" si="308"/>
        <v>190.167783291844</v>
      </c>
      <c r="H621" s="279">
        <f ca="1" t="shared" si="309"/>
        <v>0.181480274898576</v>
      </c>
      <c r="I621" s="269">
        <f ca="1">SUM($J$125:J621)/SUM($H$125:H621)</f>
        <v>0.463553485195708</v>
      </c>
      <c r="J621" s="284">
        <f t="shared" si="315"/>
        <v>0.0501009521104976</v>
      </c>
      <c r="K621" s="19">
        <f t="shared" si="317"/>
        <v>50700</v>
      </c>
      <c r="L621" s="269">
        <f t="shared" si="310"/>
        <v>3.53499999999995</v>
      </c>
      <c r="M621" s="226">
        <f ca="1" t="shared" si="311"/>
        <v>954.623999999999</v>
      </c>
      <c r="N621" s="280">
        <f ca="1" t="shared" si="316"/>
        <v>0.131379322788064</v>
      </c>
      <c r="O621" s="226">
        <f t="shared" si="321"/>
        <v>422.4</v>
      </c>
      <c r="P621" s="19">
        <f ca="1" t="shared" si="285"/>
        <v>13.6</v>
      </c>
      <c r="Q621" s="226">
        <f ca="1" t="shared" si="320"/>
        <v>2.26</v>
      </c>
      <c r="R621" s="269">
        <f ca="1" t="shared" si="292"/>
        <v>0.999490915233575</v>
      </c>
      <c r="S621" s="266">
        <f ca="1" t="shared" si="293"/>
        <v>93.8970588141808</v>
      </c>
      <c r="T621" s="226">
        <f ca="1">(1+OFFSET('玩法产出(新)'!$C$18,MATCH(X621,'玩法产出(新)'!$B$19:$B$25,0),1)*(1-V621)+OFFSET('玩法产出(新)'!$C$18,1+MATCH(X621,'玩法产出(新)'!$B$19:$B$25,0),1)*(V621))^AA621*(1+OFFSET('玩法产出(新)'!$C$18,MATCH(X621,'玩法产出(新)'!$B$19:$B$25,0),3)*(1-V621)+OFFSET('玩法产出(新)'!$C$18,1+MATCH(X621,'玩法产出(新)'!$B$19:$B$25,0),3)*(V621))^AB621*(1+OFFSET('玩法产出(新)'!$C$18,MATCH(X621,'玩法产出(新)'!$B$19:$B$25,0),4)*(1-V621)+OFFSET('玩法产出(新)'!$C$18,1+MATCH(X621,'玩法产出(新)'!$B$19:$B$25,0),4)*(V621))^AC621*(1+OFFSET('玩法产出(新)'!$C$18,MATCH(X621,'玩法产出(新)'!$B$19:$B$25,0),5)*(1+V621)+OFFSET('玩法产出(新)'!$C$18,1+MATCH(X621,'玩法产出(新)'!$B$19:$B$25,5),1)*(V621))^AD621*(1+OFFSET('玩法产出(新)'!$C$18,MATCH(X621,'玩法产出(新)'!$B$19:$B$25,0),6)*(1+V621)+OFFSET('玩法产出(新)'!$C$18,1+MATCH(X621,'玩法产出(新)'!$B$19:$B$25,0),6)*(V621))^AE621</f>
        <v>574.18296221532</v>
      </c>
      <c r="U621" s="226">
        <f ca="1" t="shared" si="312"/>
        <v>0.17928802377173</v>
      </c>
      <c r="V621" s="226">
        <f ca="1">COUNTIF($X$124:$X621,X621)/(COUNTIF($X$124:$X$723,X621)+1)</f>
        <v>0.787628865979381</v>
      </c>
      <c r="W621" s="19">
        <v>30</v>
      </c>
      <c r="X621" s="19" t="s">
        <v>326</v>
      </c>
      <c r="Y621" s="19">
        <f t="shared" si="318"/>
        <v>50960</v>
      </c>
      <c r="Z621" s="19">
        <f ca="1" t="shared" si="294"/>
        <v>0</v>
      </c>
      <c r="AA621" s="282">
        <f ca="1" t="shared" si="295"/>
        <v>0</v>
      </c>
      <c r="AB621" s="282">
        <f ca="1" t="shared" si="296"/>
        <v>18</v>
      </c>
      <c r="AC621" s="282">
        <f ca="1" t="shared" si="297"/>
        <v>10.5138</v>
      </c>
      <c r="AD621" s="282">
        <f ca="1" t="shared" si="298"/>
        <v>2.62845</v>
      </c>
      <c r="AE621" s="282">
        <f ca="1" t="shared" si="299"/>
        <v>0.6571125</v>
      </c>
      <c r="AF621" s="19" t="str">
        <f t="shared" si="300"/>
        <v>彩5</v>
      </c>
      <c r="AG621" s="19">
        <f>IFERROR(_xlfn.XLOOKUP(C621+1,[2]基因升级!$E$141:$E$500,[2]基因升级!$D$141:$D$500)-1,AG620)</f>
        <v>116</v>
      </c>
      <c r="AH621" s="19">
        <v>8</v>
      </c>
      <c r="AI621" s="19">
        <f t="shared" si="301"/>
        <v>10.5142500606751</v>
      </c>
      <c r="AJ621" s="19">
        <f t="shared" si="313"/>
        <v>0</v>
      </c>
      <c r="AK621" s="269">
        <v>2.0368</v>
      </c>
      <c r="AL621" s="287">
        <f t="shared" si="322"/>
        <v>21.5599999999997</v>
      </c>
      <c r="AM621" s="287">
        <f t="shared" si="323"/>
        <v>17.9599999999998</v>
      </c>
      <c r="AN621" s="287">
        <f t="shared" si="325"/>
        <v>14.3599999999999</v>
      </c>
      <c r="AO621" s="287">
        <f t="shared" si="319"/>
        <v>10.7599999999999</v>
      </c>
      <c r="AP621" s="287">
        <f t="shared" si="324"/>
        <v>7.16</v>
      </c>
      <c r="AQ621" s="19">
        <f t="shared" si="302"/>
        <v>4.30045340900536</v>
      </c>
      <c r="AR621" s="19">
        <f t="shared" si="303"/>
        <v>3.37079737641852</v>
      </c>
      <c r="AS621" s="19">
        <f t="shared" si="304"/>
        <v>2.64211092929802</v>
      </c>
      <c r="AT621" s="19">
        <f t="shared" si="305"/>
        <v>2.07094920968911</v>
      </c>
      <c r="AU621" s="19">
        <f t="shared" si="306"/>
        <v>1.62325910753922</v>
      </c>
      <c r="AV621" s="232">
        <f t="shared" si="286"/>
        <v>0.0399999999999991</v>
      </c>
      <c r="AW621" s="232">
        <f t="shared" si="287"/>
        <v>0.0399999999999991</v>
      </c>
      <c r="AX621" s="232">
        <f t="shared" si="288"/>
        <v>0.0399999999999991</v>
      </c>
      <c r="AY621" s="232">
        <f t="shared" si="289"/>
        <v>0.0399999999999991</v>
      </c>
      <c r="AZ621" s="232">
        <f t="shared" si="290"/>
        <v>0.04</v>
      </c>
    </row>
    <row r="622" spans="1:52">
      <c r="A622" s="269"/>
      <c r="C622" s="19">
        <v>499</v>
      </c>
      <c r="D622" s="86">
        <f ca="1" t="shared" si="314"/>
        <v>288.91809623296</v>
      </c>
      <c r="E622" s="251">
        <f ca="1" t="shared" si="291"/>
        <v>0.359670652659842</v>
      </c>
      <c r="F622" s="269">
        <f ca="1" t="shared" si="307"/>
        <v>529.228663914267</v>
      </c>
      <c r="G622" s="283">
        <f ca="1" t="shared" si="308"/>
        <v>190.348018956341</v>
      </c>
      <c r="H622" s="279">
        <f ca="1" t="shared" si="309"/>
        <v>0.180235664496308</v>
      </c>
      <c r="I622" s="269">
        <f ca="1">SUM($J$125:J622)/SUM($H$125:H622)</f>
        <v>0.463367539229658</v>
      </c>
      <c r="J622" s="284">
        <f t="shared" si="315"/>
        <v>0.0500138838238229</v>
      </c>
      <c r="K622" s="19">
        <f t="shared" si="317"/>
        <v>50800</v>
      </c>
      <c r="L622" s="269">
        <f t="shared" si="310"/>
        <v>3.53999999999995</v>
      </c>
      <c r="M622" s="226">
        <f ca="1" t="shared" si="311"/>
        <v>963.071999999999</v>
      </c>
      <c r="N622" s="280">
        <f ca="1" t="shared" si="316"/>
        <v>0.1302217806725</v>
      </c>
      <c r="O622" s="226">
        <f t="shared" si="321"/>
        <v>422.4</v>
      </c>
      <c r="P622" s="19">
        <f ca="1" t="shared" si="285"/>
        <v>13.8</v>
      </c>
      <c r="Q622" s="226">
        <f ca="1" t="shared" si="320"/>
        <v>2.28</v>
      </c>
      <c r="R622" s="269">
        <f ca="1" t="shared" si="292"/>
        <v>1.00140091798349</v>
      </c>
      <c r="S622" s="266">
        <f ca="1" t="shared" si="293"/>
        <v>94.0764938023443</v>
      </c>
      <c r="T622" s="226">
        <f ca="1">(1+OFFSET('玩法产出(新)'!$C$18,MATCH(X622,'玩法产出(新)'!$B$19:$B$25,0),1)*(1-V622)+OFFSET('玩法产出(新)'!$C$18,1+MATCH(X622,'玩法产出(新)'!$B$19:$B$25,0),1)*(V622))^AA622*(1+OFFSET('玩法产出(新)'!$C$18,MATCH(X622,'玩法产出(新)'!$B$19:$B$25,0),3)*(1-V622)+OFFSET('玩法产出(新)'!$C$18,1+MATCH(X622,'玩法产出(新)'!$B$19:$B$25,0),3)*(V622))^AB622*(1+OFFSET('玩法产出(新)'!$C$18,MATCH(X622,'玩法产出(新)'!$B$19:$B$25,0),4)*(1-V622)+OFFSET('玩法产出(新)'!$C$18,1+MATCH(X622,'玩法产出(新)'!$B$19:$B$25,0),4)*(V622))^AC622*(1+OFFSET('玩法产出(新)'!$C$18,MATCH(X622,'玩法产出(新)'!$B$19:$B$25,0),5)*(1+V622)+OFFSET('玩法产出(新)'!$C$18,1+MATCH(X622,'玩法产出(新)'!$B$19:$B$25,5),1)*(V622))^AD622*(1+OFFSET('玩法产出(新)'!$C$18,MATCH(X622,'玩法产出(新)'!$B$19:$B$25,0),6)*(1+V622)+OFFSET('玩法产出(新)'!$C$18,1+MATCH(X622,'玩法产出(新)'!$B$19:$B$25,0),6)*(V622))^AE622</f>
        <v>581.196217635769</v>
      </c>
      <c r="U622" s="226">
        <f ca="1" t="shared" si="312"/>
        <v>0.17943498816352</v>
      </c>
      <c r="V622" s="226">
        <f ca="1">COUNTIF($X$124:$X622,X622)/(COUNTIF($X$124:$X$723,X622)+1)</f>
        <v>0.789690721649485</v>
      </c>
      <c r="W622" s="19">
        <v>30</v>
      </c>
      <c r="X622" s="19" t="s">
        <v>326</v>
      </c>
      <c r="Y622" s="19">
        <f t="shared" si="318"/>
        <v>51060</v>
      </c>
      <c r="Z622" s="19">
        <f ca="1" t="shared" si="294"/>
        <v>0</v>
      </c>
      <c r="AA622" s="282">
        <f ca="1" t="shared" si="295"/>
        <v>0</v>
      </c>
      <c r="AB622" s="282">
        <f ca="1" t="shared" si="296"/>
        <v>18</v>
      </c>
      <c r="AC622" s="282">
        <f ca="1" t="shared" si="297"/>
        <v>10.53465</v>
      </c>
      <c r="AD622" s="282">
        <f ca="1" t="shared" si="298"/>
        <v>2.6336625</v>
      </c>
      <c r="AE622" s="282">
        <f ca="1" t="shared" si="299"/>
        <v>0.658415625</v>
      </c>
      <c r="AF622" s="19" t="str">
        <f t="shared" si="300"/>
        <v>彩5</v>
      </c>
      <c r="AG622" s="19">
        <f>IFERROR(_xlfn.XLOOKUP(C622+1,[2]基因升级!$E$141:$E$500,[2]基因升级!$D$141:$D$500)-1,AG621)</f>
        <v>116</v>
      </c>
      <c r="AH622" s="19">
        <v>8</v>
      </c>
      <c r="AI622" s="19">
        <f t="shared" si="301"/>
        <v>10.5142500606751</v>
      </c>
      <c r="AJ622" s="19">
        <f t="shared" si="313"/>
        <v>0</v>
      </c>
      <c r="AK622" s="269">
        <v>2.0368</v>
      </c>
      <c r="AL622" s="287">
        <f t="shared" si="322"/>
        <v>21.5999999999997</v>
      </c>
      <c r="AM622" s="287">
        <f t="shared" si="323"/>
        <v>17.9999999999998</v>
      </c>
      <c r="AN622" s="287">
        <f t="shared" si="325"/>
        <v>14.3999999999999</v>
      </c>
      <c r="AO622" s="287">
        <f t="shared" si="319"/>
        <v>10.7999999999999</v>
      </c>
      <c r="AP622" s="287">
        <f t="shared" si="324"/>
        <v>7.2</v>
      </c>
      <c r="AQ622" s="19">
        <f t="shared" si="302"/>
        <v>4.31210768676483</v>
      </c>
      <c r="AR622" s="19">
        <f t="shared" si="303"/>
        <v>3.37993227573249</v>
      </c>
      <c r="AS622" s="19">
        <f t="shared" si="304"/>
        <v>2.64927108003396</v>
      </c>
      <c r="AT622" s="19">
        <f t="shared" si="305"/>
        <v>2.07656150565421</v>
      </c>
      <c r="AU622" s="19">
        <f t="shared" si="306"/>
        <v>1.62765815822426</v>
      </c>
      <c r="AV622" s="232">
        <f t="shared" si="286"/>
        <v>0.0399999999999991</v>
      </c>
      <c r="AW622" s="232">
        <f t="shared" si="287"/>
        <v>0.0399999999999991</v>
      </c>
      <c r="AX622" s="232">
        <f t="shared" si="288"/>
        <v>0.0399999999999991</v>
      </c>
      <c r="AY622" s="232">
        <f t="shared" si="289"/>
        <v>0.0399999999999991</v>
      </c>
      <c r="AZ622" s="232">
        <f t="shared" si="290"/>
        <v>0.04</v>
      </c>
    </row>
    <row r="623" spans="1:52">
      <c r="A623" s="269"/>
      <c r="C623" s="19">
        <v>500</v>
      </c>
      <c r="D623" s="86">
        <f ca="1" t="shared" si="314"/>
        <v>289.276689701359</v>
      </c>
      <c r="E623" s="251">
        <f ca="1" t="shared" si="291"/>
        <v>0.358593468399604</v>
      </c>
      <c r="F623" s="269">
        <f ca="1" t="shared" si="307"/>
        <v>531.317626586564</v>
      </c>
      <c r="G623" s="283">
        <f ca="1" t="shared" si="308"/>
        <v>190.527030539522</v>
      </c>
      <c r="H623" s="279">
        <f ca="1" t="shared" si="309"/>
        <v>0.179011583181307</v>
      </c>
      <c r="I623" s="269">
        <f ca="1">SUM($J$125:J623)/SUM($H$125:H623)</f>
        <v>0.463184624618287</v>
      </c>
      <c r="J623" s="284">
        <f t="shared" si="315"/>
        <v>0.0499271251591011</v>
      </c>
      <c r="K623" s="19">
        <f t="shared" si="317"/>
        <v>50900</v>
      </c>
      <c r="L623" s="269">
        <f t="shared" si="310"/>
        <v>3.54499999999995</v>
      </c>
      <c r="M623" s="226">
        <f ca="1" t="shared" si="311"/>
        <v>971.52</v>
      </c>
      <c r="N623" s="280">
        <f ca="1" t="shared" si="316"/>
        <v>0.129084458022163</v>
      </c>
      <c r="O623" s="226">
        <f t="shared" si="321"/>
        <v>422.4</v>
      </c>
      <c r="P623" s="19">
        <f ca="1" t="shared" si="285"/>
        <v>14</v>
      </c>
      <c r="Q623" s="226">
        <f ca="1" t="shared" si="320"/>
        <v>2.3</v>
      </c>
      <c r="R623" s="269">
        <f ca="1" t="shared" si="292"/>
        <v>1.00331248438486</v>
      </c>
      <c r="S623" s="266">
        <f ca="1" t="shared" si="293"/>
        <v>94.2560756875626</v>
      </c>
      <c r="T623" s="226">
        <f ca="1">(1+OFFSET('玩法产出(新)'!$C$18,MATCH(X623,'玩法产出(新)'!$B$19:$B$25,0),1)*(1-V623)+OFFSET('玩法产出(新)'!$C$18,1+MATCH(X623,'玩法产出(新)'!$B$19:$B$25,0),1)*(V623))^AA623*(1+OFFSET('玩法产出(新)'!$C$18,MATCH(X623,'玩法产出(新)'!$B$19:$B$25,0),3)*(1-V623)+OFFSET('玩法产出(新)'!$C$18,1+MATCH(X623,'玩法产出(新)'!$B$19:$B$25,0),3)*(V623))^AB623*(1+OFFSET('玩法产出(新)'!$C$18,MATCH(X623,'玩法产出(新)'!$B$19:$B$25,0),4)*(1-V623)+OFFSET('玩法产出(新)'!$C$18,1+MATCH(X623,'玩法产出(新)'!$B$19:$B$25,0),4)*(V623))^AC623*(1+OFFSET('玩法产出(新)'!$C$18,MATCH(X623,'玩法产出(新)'!$B$19:$B$25,0),5)*(1+V623)+OFFSET('玩法产出(新)'!$C$18,1+MATCH(X623,'玩法产出(新)'!$B$19:$B$25,5),1)*(V623))^AD623*(1+OFFSET('玩法产出(新)'!$C$18,MATCH(X623,'玩法产出(新)'!$B$19:$B$25,0),6)*(1+V623)+OFFSET('玩法产出(新)'!$C$18,1+MATCH(X623,'玩法产出(新)'!$B$19:$B$25,0),6)*(V623))^AE623</f>
        <v>588.300982223957</v>
      </c>
      <c r="U623" s="226">
        <f ca="1" t="shared" si="312"/>
        <v>0.17958188521834</v>
      </c>
      <c r="V623" s="226">
        <f ca="1">COUNTIF($X$124:$X623,X623)/(COUNTIF($X$124:$X$723,X623)+1)</f>
        <v>0.791752577319588</v>
      </c>
      <c r="W623" s="19">
        <v>30</v>
      </c>
      <c r="X623" s="19" t="s">
        <v>326</v>
      </c>
      <c r="Y623" s="19">
        <f t="shared" si="318"/>
        <v>51160</v>
      </c>
      <c r="Z623" s="19">
        <f ca="1" t="shared" si="294"/>
        <v>0</v>
      </c>
      <c r="AA623" s="282">
        <f ca="1" t="shared" si="295"/>
        <v>0</v>
      </c>
      <c r="AB623" s="282">
        <f ca="1" t="shared" si="296"/>
        <v>18</v>
      </c>
      <c r="AC623" s="282">
        <f ca="1" t="shared" si="297"/>
        <v>10.5555</v>
      </c>
      <c r="AD623" s="282">
        <f ca="1" t="shared" si="298"/>
        <v>2.638875</v>
      </c>
      <c r="AE623" s="282">
        <f ca="1" t="shared" si="299"/>
        <v>0.65971875</v>
      </c>
      <c r="AF623" s="19" t="str">
        <f t="shared" si="300"/>
        <v>彩5</v>
      </c>
      <c r="AG623" s="19">
        <f>IFERROR(_xlfn.XLOOKUP(C623+1,[2]基因升级!$E$141:$E$500,[2]基因升级!$D$141:$D$500)-1,AG622)</f>
        <v>116</v>
      </c>
      <c r="AH623" s="19">
        <v>8</v>
      </c>
      <c r="AI623" s="19">
        <f t="shared" si="301"/>
        <v>10.5142500606751</v>
      </c>
      <c r="AJ623" s="19">
        <f t="shared" si="313"/>
        <v>0</v>
      </c>
      <c r="AK623" s="269">
        <v>2.0368</v>
      </c>
      <c r="AL623" s="287">
        <f t="shared" si="322"/>
        <v>21.6399999999997</v>
      </c>
      <c r="AM623" s="287">
        <f t="shared" si="323"/>
        <v>18.0399999999998</v>
      </c>
      <c r="AN623" s="287">
        <f t="shared" si="325"/>
        <v>14.4399999999999</v>
      </c>
      <c r="AO623" s="287">
        <f t="shared" si="319"/>
        <v>10.8399999999999</v>
      </c>
      <c r="AP623" s="287">
        <f t="shared" si="324"/>
        <v>7.24</v>
      </c>
      <c r="AQ623" s="19">
        <f t="shared" si="302"/>
        <v>4.32379354774987</v>
      </c>
      <c r="AR623" s="19">
        <f t="shared" si="303"/>
        <v>3.38909193072772</v>
      </c>
      <c r="AS623" s="19">
        <f t="shared" si="304"/>
        <v>2.65645063486001</v>
      </c>
      <c r="AT623" s="19">
        <f t="shared" si="305"/>
        <v>2.08218901100535</v>
      </c>
      <c r="AU623" s="19">
        <f t="shared" si="306"/>
        <v>1.6320691303868</v>
      </c>
      <c r="AV623" s="232">
        <f t="shared" si="286"/>
        <v>0.0399999999999991</v>
      </c>
      <c r="AW623" s="232">
        <f t="shared" si="287"/>
        <v>0.0399999999999991</v>
      </c>
      <c r="AX623" s="232">
        <f t="shared" si="288"/>
        <v>0.0399999999999991</v>
      </c>
      <c r="AY623" s="232">
        <f t="shared" si="289"/>
        <v>0.0399999999999991</v>
      </c>
      <c r="AZ623" s="232">
        <f t="shared" si="290"/>
        <v>0.04</v>
      </c>
    </row>
    <row r="624" spans="1:52">
      <c r="A624" s="269"/>
      <c r="C624" s="19">
        <v>501</v>
      </c>
      <c r="D624" s="86">
        <f ca="1" t="shared" si="314"/>
        <v>289.634225920446</v>
      </c>
      <c r="E624" s="251">
        <f ca="1" t="shared" si="291"/>
        <v>0.35753621908653</v>
      </c>
      <c r="F624" s="269">
        <f ca="1" t="shared" si="307"/>
        <v>533.386067936917</v>
      </c>
      <c r="G624" s="283">
        <f ca="1" t="shared" si="308"/>
        <v>190.704838043597</v>
      </c>
      <c r="H624" s="279">
        <f ca="1" t="shared" si="309"/>
        <v>0.177807504074707</v>
      </c>
      <c r="I624" s="269">
        <f ca="1">SUM($J$125:J624)/SUM($H$125:H624)</f>
        <v>0.463004679089714</v>
      </c>
      <c r="J624" s="284">
        <f t="shared" si="315"/>
        <v>0.0498406744318487</v>
      </c>
      <c r="K624" s="19">
        <f t="shared" si="317"/>
        <v>51000</v>
      </c>
      <c r="L624" s="269">
        <f t="shared" si="310"/>
        <v>3.54999999999995</v>
      </c>
      <c r="M624" s="226">
        <f ca="1" t="shared" si="311"/>
        <v>979.967999999999</v>
      </c>
      <c r="N624" s="280">
        <f ca="1" t="shared" si="316"/>
        <v>0.127966829642858</v>
      </c>
      <c r="O624" s="226">
        <f t="shared" si="321"/>
        <v>422.4</v>
      </c>
      <c r="P624" s="19">
        <f ca="1" t="shared" si="285"/>
        <v>14.2</v>
      </c>
      <c r="Q624" s="226">
        <f ca="1" t="shared" si="320"/>
        <v>2.32</v>
      </c>
      <c r="R624" s="269">
        <f ca="1" t="shared" si="292"/>
        <v>1.00522561372171</v>
      </c>
      <c r="S624" s="266">
        <f ca="1" t="shared" si="293"/>
        <v>94.4358044025745</v>
      </c>
      <c r="T624" s="226">
        <f ca="1">(1+OFFSET('玩法产出(新)'!$C$18,MATCH(X624,'玩法产出(新)'!$B$19:$B$25,0),1)*(1-V624)+OFFSET('玩法产出(新)'!$C$18,1+MATCH(X624,'玩法产出(新)'!$B$19:$B$25,0),1)*(V624))^AA624*(1+OFFSET('玩法产出(新)'!$C$18,MATCH(X624,'玩法产出(新)'!$B$19:$B$25,0),3)*(1-V624)+OFFSET('玩法产出(新)'!$C$18,1+MATCH(X624,'玩法产出(新)'!$B$19:$B$25,0),3)*(V624))^AB624*(1+OFFSET('玩法产出(新)'!$C$18,MATCH(X624,'玩法产出(新)'!$B$19:$B$25,0),4)*(1-V624)+OFFSET('玩法产出(新)'!$C$18,1+MATCH(X624,'玩法产出(新)'!$B$19:$B$25,0),4)*(V624))^AC624*(1+OFFSET('玩法产出(新)'!$C$18,MATCH(X624,'玩法产出(新)'!$B$19:$B$25,0),5)*(1+V624)+OFFSET('玩法产出(新)'!$C$18,1+MATCH(X624,'玩法产出(新)'!$B$19:$B$25,5),1)*(V624))^AD624*(1+OFFSET('玩法产出(新)'!$C$18,MATCH(X624,'玩法产出(新)'!$B$19:$B$25,0),6)*(1+V624)+OFFSET('玩法产出(新)'!$C$18,1+MATCH(X624,'玩法产出(新)'!$B$19:$B$25,0),6)*(V624))^AE624</f>
        <v>595.498514003284</v>
      </c>
      <c r="U624" s="226">
        <f ca="1" t="shared" si="312"/>
        <v>0.179728715011824</v>
      </c>
      <c r="V624" s="226">
        <f ca="1">COUNTIF($X$124:$X624,X624)/(COUNTIF($X$124:$X$723,X624)+1)</f>
        <v>0.793814432989691</v>
      </c>
      <c r="W624" s="19">
        <v>30</v>
      </c>
      <c r="X624" s="19" t="s">
        <v>326</v>
      </c>
      <c r="Y624" s="19">
        <f t="shared" si="318"/>
        <v>51260</v>
      </c>
      <c r="Z624" s="19">
        <f ca="1" t="shared" si="294"/>
        <v>0</v>
      </c>
      <c r="AA624" s="282">
        <f ca="1" t="shared" si="295"/>
        <v>0</v>
      </c>
      <c r="AB624" s="282">
        <f ca="1" t="shared" si="296"/>
        <v>18</v>
      </c>
      <c r="AC624" s="282">
        <f ca="1" t="shared" si="297"/>
        <v>10.57635</v>
      </c>
      <c r="AD624" s="282">
        <f ca="1" t="shared" si="298"/>
        <v>2.6440875</v>
      </c>
      <c r="AE624" s="282">
        <f ca="1" t="shared" si="299"/>
        <v>0.661021875</v>
      </c>
      <c r="AF624" s="19" t="str">
        <f t="shared" si="300"/>
        <v>彩5</v>
      </c>
      <c r="AG624" s="19">
        <f>IFERROR(_xlfn.XLOOKUP(C624+1,[2]基因升级!$E$141:$E$500,[2]基因升级!$D$141:$D$500)-1,AG623)</f>
        <v>116</v>
      </c>
      <c r="AH624" s="19">
        <v>8</v>
      </c>
      <c r="AI624" s="19">
        <f t="shared" si="301"/>
        <v>10.5142500606751</v>
      </c>
      <c r="AJ624" s="19">
        <f t="shared" si="313"/>
        <v>0</v>
      </c>
      <c r="AK624" s="269">
        <v>2.0368</v>
      </c>
      <c r="AL624" s="287">
        <f t="shared" si="322"/>
        <v>21.6799999999997</v>
      </c>
      <c r="AM624" s="287">
        <f t="shared" si="323"/>
        <v>18.0799999999998</v>
      </c>
      <c r="AN624" s="287">
        <f t="shared" si="325"/>
        <v>14.4799999999999</v>
      </c>
      <c r="AO624" s="287">
        <f t="shared" si="319"/>
        <v>10.8799999999999</v>
      </c>
      <c r="AP624" s="287">
        <f t="shared" si="324"/>
        <v>7.28</v>
      </c>
      <c r="AQ624" s="19">
        <f t="shared" si="302"/>
        <v>4.33551107755139</v>
      </c>
      <c r="AR624" s="19">
        <f t="shared" si="303"/>
        <v>3.39827640849241</v>
      </c>
      <c r="AS624" s="19">
        <f t="shared" si="304"/>
        <v>2.66364964636149</v>
      </c>
      <c r="AT624" s="19">
        <f t="shared" si="305"/>
        <v>2.08783176696014</v>
      </c>
      <c r="AU624" s="19">
        <f t="shared" si="306"/>
        <v>1.63649205633417</v>
      </c>
      <c r="AV624" s="232">
        <f t="shared" si="286"/>
        <v>0.0399999999999991</v>
      </c>
      <c r="AW624" s="232">
        <f t="shared" si="287"/>
        <v>0.0399999999999991</v>
      </c>
      <c r="AX624" s="232">
        <f t="shared" si="288"/>
        <v>0.0399999999999991</v>
      </c>
      <c r="AY624" s="232">
        <f t="shared" si="289"/>
        <v>0.0399999999999991</v>
      </c>
      <c r="AZ624" s="232">
        <f t="shared" si="290"/>
        <v>0.04</v>
      </c>
    </row>
    <row r="625" spans="1:52">
      <c r="A625" s="269"/>
      <c r="C625" s="19">
        <v>502</v>
      </c>
      <c r="D625" s="86">
        <f ca="1" t="shared" si="314"/>
        <v>289.990724316409</v>
      </c>
      <c r="E625" s="251">
        <f ca="1" t="shared" si="291"/>
        <v>0.356498395962931</v>
      </c>
      <c r="F625" s="269">
        <f ca="1" t="shared" si="307"/>
        <v>535.434277190375</v>
      </c>
      <c r="G625" s="283">
        <f ca="1" t="shared" si="308"/>
        <v>190.88146096194</v>
      </c>
      <c r="H625" s="279">
        <f ca="1" t="shared" si="309"/>
        <v>0.176622918343213</v>
      </c>
      <c r="I625" s="269">
        <f ca="1">SUM($J$125:J625)/SUM($H$125:H625)</f>
        <v>0.462827642109323</v>
      </c>
      <c r="J625" s="284">
        <f t="shared" si="315"/>
        <v>0.0497545299699027</v>
      </c>
      <c r="K625" s="19">
        <f t="shared" si="317"/>
        <v>51100</v>
      </c>
      <c r="L625" s="269">
        <f t="shared" si="310"/>
        <v>3.55499999999995</v>
      </c>
      <c r="M625" s="226">
        <f ca="1" t="shared" si="311"/>
        <v>988.415999999999</v>
      </c>
      <c r="N625" s="280">
        <f ca="1" t="shared" si="316"/>
        <v>0.126868388373339</v>
      </c>
      <c r="O625" s="226">
        <f t="shared" si="321"/>
        <v>422.4</v>
      </c>
      <c r="P625" s="19">
        <f ca="1" t="shared" si="285"/>
        <v>14.4</v>
      </c>
      <c r="Q625" s="226">
        <f ca="1" t="shared" si="320"/>
        <v>2.34</v>
      </c>
      <c r="R625" s="269">
        <f ca="1" t="shared" si="292"/>
        <v>1.00714030527887</v>
      </c>
      <c r="S625" s="266">
        <f ca="1" t="shared" si="293"/>
        <v>94.6156798801942</v>
      </c>
      <c r="T625" s="226">
        <f ca="1">(1+OFFSET('玩法产出(新)'!$C$18,MATCH(X625,'玩法产出(新)'!$B$19:$B$25,0),1)*(1-V625)+OFFSET('玩法产出(新)'!$C$18,1+MATCH(X625,'玩法产出(新)'!$B$19:$B$25,0),1)*(V625))^AA625*(1+OFFSET('玩法产出(新)'!$C$18,MATCH(X625,'玩法产出(新)'!$B$19:$B$25,0),3)*(1-V625)+OFFSET('玩法产出(新)'!$C$18,1+MATCH(X625,'玩法产出(新)'!$B$19:$B$25,0),3)*(V625))^AB625*(1+OFFSET('玩法产出(新)'!$C$18,MATCH(X625,'玩法产出(新)'!$B$19:$B$25,0),4)*(1-V625)+OFFSET('玩法产出(新)'!$C$18,1+MATCH(X625,'玩法产出(新)'!$B$19:$B$25,0),4)*(V625))^AC625*(1+OFFSET('玩法产出(新)'!$C$18,MATCH(X625,'玩法产出(新)'!$B$19:$B$25,0),5)*(1+V625)+OFFSET('玩法产出(新)'!$C$18,1+MATCH(X625,'玩法产出(新)'!$B$19:$B$25,5),1)*(V625))^AD625*(1+OFFSET('玩法产出(新)'!$C$18,MATCH(X625,'玩法产出(新)'!$B$19:$B$25,0),6)*(1+V625)+OFFSET('玩法产出(新)'!$C$18,1+MATCH(X625,'玩法产出(新)'!$B$19:$B$25,0),6)*(V625))^AE625</f>
        <v>602.790089068548</v>
      </c>
      <c r="U625" s="226">
        <f ca="1" t="shared" si="312"/>
        <v>0.179875477619689</v>
      </c>
      <c r="V625" s="226">
        <f ca="1">COUNTIF($X$124:$X625,X625)/(COUNTIF($X$124:$X$723,X625)+1)</f>
        <v>0.795876288659794</v>
      </c>
      <c r="W625" s="19">
        <v>30</v>
      </c>
      <c r="X625" s="19" t="s">
        <v>326</v>
      </c>
      <c r="Y625" s="19">
        <f t="shared" si="318"/>
        <v>51360</v>
      </c>
      <c r="Z625" s="19">
        <f ca="1" t="shared" si="294"/>
        <v>0</v>
      </c>
      <c r="AA625" s="282">
        <f ca="1" t="shared" si="295"/>
        <v>0</v>
      </c>
      <c r="AB625" s="282">
        <f ca="1" t="shared" si="296"/>
        <v>18</v>
      </c>
      <c r="AC625" s="282">
        <f ca="1" t="shared" si="297"/>
        <v>10.5972</v>
      </c>
      <c r="AD625" s="282">
        <f ca="1" t="shared" si="298"/>
        <v>2.6493</v>
      </c>
      <c r="AE625" s="282">
        <f ca="1" t="shared" si="299"/>
        <v>0.662325</v>
      </c>
      <c r="AF625" s="19" t="str">
        <f t="shared" si="300"/>
        <v>彩5</v>
      </c>
      <c r="AG625" s="19">
        <f>IFERROR(_xlfn.XLOOKUP(C625+1,[2]基因升级!$E$141:$E$500,[2]基因升级!$D$141:$D$500)-1,AG624)</f>
        <v>116</v>
      </c>
      <c r="AH625" s="19">
        <v>8</v>
      </c>
      <c r="AI625" s="19">
        <f t="shared" si="301"/>
        <v>10.5142500606751</v>
      </c>
      <c r="AJ625" s="19">
        <f t="shared" si="313"/>
        <v>0</v>
      </c>
      <c r="AK625" s="269">
        <v>2.0368</v>
      </c>
      <c r="AL625" s="287">
        <f t="shared" si="322"/>
        <v>21.7199999999997</v>
      </c>
      <c r="AM625" s="287">
        <f t="shared" si="323"/>
        <v>18.1199999999998</v>
      </c>
      <c r="AN625" s="287">
        <f t="shared" si="325"/>
        <v>14.5199999999999</v>
      </c>
      <c r="AO625" s="287">
        <f t="shared" si="319"/>
        <v>10.9199999999999</v>
      </c>
      <c r="AP625" s="287">
        <f t="shared" si="324"/>
        <v>7.32</v>
      </c>
      <c r="AQ625" s="19">
        <f t="shared" si="302"/>
        <v>4.34726036199224</v>
      </c>
      <c r="AR625" s="19">
        <f t="shared" si="303"/>
        <v>3.40748577629653</v>
      </c>
      <c r="AS625" s="19">
        <f t="shared" si="304"/>
        <v>2.67086816726619</v>
      </c>
      <c r="AT625" s="19">
        <f t="shared" si="305"/>
        <v>2.09348981484789</v>
      </c>
      <c r="AU625" s="19">
        <f t="shared" si="306"/>
        <v>1.64092696846129</v>
      </c>
      <c r="AV625" s="232">
        <f t="shared" si="286"/>
        <v>0.0399999999999991</v>
      </c>
      <c r="AW625" s="232">
        <f t="shared" si="287"/>
        <v>0.0399999999999991</v>
      </c>
      <c r="AX625" s="232">
        <f t="shared" si="288"/>
        <v>0.0399999999999991</v>
      </c>
      <c r="AY625" s="232">
        <f t="shared" si="289"/>
        <v>0.0399999999999991</v>
      </c>
      <c r="AZ625" s="232">
        <f t="shared" si="290"/>
        <v>0.04</v>
      </c>
    </row>
    <row r="626" spans="1:52">
      <c r="A626" s="269"/>
      <c r="C626" s="19">
        <v>503</v>
      </c>
      <c r="D626" s="86">
        <f ca="1" t="shared" si="314"/>
        <v>290.346203823957</v>
      </c>
      <c r="E626" s="251">
        <f ca="1" t="shared" si="291"/>
        <v>0.355479507548482</v>
      </c>
      <c r="F626" s="269">
        <f ca="1" t="shared" si="307"/>
        <v>537.462537894154</v>
      </c>
      <c r="G626" s="283">
        <f ca="1" t="shared" si="308"/>
        <v>191.056918296371</v>
      </c>
      <c r="H626" s="279">
        <f ca="1" t="shared" si="309"/>
        <v>0.1754573344314</v>
      </c>
      <c r="I626" s="269">
        <f ca="1">SUM($J$125:J626)/SUM($H$125:H626)</f>
        <v>0.462653454817454</v>
      </c>
      <c r="J626" s="284">
        <f t="shared" si="315"/>
        <v>0.0496686901134069</v>
      </c>
      <c r="K626" s="19">
        <f t="shared" si="317"/>
        <v>51200</v>
      </c>
      <c r="L626" s="269">
        <f t="shared" si="310"/>
        <v>3.55999999999995</v>
      </c>
      <c r="M626" s="226">
        <f ca="1" t="shared" si="311"/>
        <v>996.863999999999</v>
      </c>
      <c r="N626" s="280">
        <f ca="1" t="shared" si="316"/>
        <v>0.125788644317993</v>
      </c>
      <c r="O626" s="226">
        <f t="shared" si="321"/>
        <v>422.4</v>
      </c>
      <c r="P626" s="19">
        <f ca="1" t="shared" si="285"/>
        <v>14.6</v>
      </c>
      <c r="Q626" s="226">
        <f ca="1" t="shared" si="320"/>
        <v>2.36</v>
      </c>
      <c r="R626" s="269">
        <f ca="1" t="shared" si="292"/>
        <v>1.009056558342</v>
      </c>
      <c r="S626" s="266">
        <f ca="1" t="shared" si="293"/>
        <v>94.7957020533112</v>
      </c>
      <c r="T626" s="226">
        <f ca="1">(1+OFFSET('玩法产出(新)'!$C$18,MATCH(X626,'玩法产出(新)'!$B$19:$B$25,0),1)*(1-V626)+OFFSET('玩法产出(新)'!$C$18,1+MATCH(X626,'玩法产出(新)'!$B$19:$B$25,0),1)*(V626))^AA626*(1+OFFSET('玩法产出(新)'!$C$18,MATCH(X626,'玩法产出(新)'!$B$19:$B$25,0),3)*(1-V626)+OFFSET('玩法产出(新)'!$C$18,1+MATCH(X626,'玩法产出(新)'!$B$19:$B$25,0),3)*(V626))^AB626*(1+OFFSET('玩法产出(新)'!$C$18,MATCH(X626,'玩法产出(新)'!$B$19:$B$25,0),4)*(1-V626)+OFFSET('玩法产出(新)'!$C$18,1+MATCH(X626,'玩法产出(新)'!$B$19:$B$25,0),4)*(V626))^AC626*(1+OFFSET('玩法产出(新)'!$C$18,MATCH(X626,'玩法产出(新)'!$B$19:$B$25,0),5)*(1+V626)+OFFSET('玩法产出(新)'!$C$18,1+MATCH(X626,'玩法产出(新)'!$B$19:$B$25,5),1)*(V626))^AD626*(1+OFFSET('玩法产出(新)'!$C$18,MATCH(X626,'玩法产出(新)'!$B$19:$B$25,0),6)*(1+V626)+OFFSET('玩法产出(新)'!$C$18,1+MATCH(X626,'玩法产出(新)'!$B$19:$B$25,0),6)*(V626))^AE626</f>
        <v>610.177001855612</v>
      </c>
      <c r="U626" s="226">
        <f ca="1" t="shared" si="312"/>
        <v>0.180022173117082</v>
      </c>
      <c r="V626" s="226">
        <f ca="1">COUNTIF($X$124:$X626,X626)/(COUNTIF($X$124:$X$723,X626)+1)</f>
        <v>0.797938144329897</v>
      </c>
      <c r="W626" s="19">
        <v>30</v>
      </c>
      <c r="X626" s="19" t="s">
        <v>326</v>
      </c>
      <c r="Y626" s="19">
        <f t="shared" si="318"/>
        <v>51460</v>
      </c>
      <c r="Z626" s="19">
        <f ca="1" t="shared" si="294"/>
        <v>0</v>
      </c>
      <c r="AA626" s="282">
        <f ca="1" t="shared" si="295"/>
        <v>0</v>
      </c>
      <c r="AB626" s="282">
        <f ca="1" t="shared" si="296"/>
        <v>18</v>
      </c>
      <c r="AC626" s="282">
        <f ca="1" t="shared" si="297"/>
        <v>10.61805</v>
      </c>
      <c r="AD626" s="282">
        <f ca="1" t="shared" si="298"/>
        <v>2.6545125</v>
      </c>
      <c r="AE626" s="282">
        <f ca="1" t="shared" si="299"/>
        <v>0.663628125</v>
      </c>
      <c r="AF626" s="19" t="str">
        <f t="shared" si="300"/>
        <v>彩5</v>
      </c>
      <c r="AG626" s="19">
        <f>IFERROR(_xlfn.XLOOKUP(C626+1,[2]基因升级!$E$141:$E$500,[2]基因升级!$D$141:$D$500)-1,AG625)</f>
        <v>116</v>
      </c>
      <c r="AH626" s="19">
        <v>8</v>
      </c>
      <c r="AI626" s="19">
        <f t="shared" si="301"/>
        <v>10.5142500606751</v>
      </c>
      <c r="AJ626" s="19">
        <f t="shared" si="313"/>
        <v>0</v>
      </c>
      <c r="AK626" s="269">
        <v>2.0368</v>
      </c>
      <c r="AL626" s="287">
        <f t="shared" si="322"/>
        <v>21.7599999999997</v>
      </c>
      <c r="AM626" s="287">
        <f t="shared" si="323"/>
        <v>18.1599999999998</v>
      </c>
      <c r="AN626" s="287">
        <f t="shared" si="325"/>
        <v>14.5599999999999</v>
      </c>
      <c r="AO626" s="287">
        <f t="shared" si="319"/>
        <v>10.9599999999999</v>
      </c>
      <c r="AP626" s="287">
        <f t="shared" si="324"/>
        <v>7.36</v>
      </c>
      <c r="AQ626" s="19">
        <f t="shared" si="302"/>
        <v>4.35904148712785</v>
      </c>
      <c r="AR626" s="19">
        <f t="shared" si="303"/>
        <v>3.41672010159237</v>
      </c>
      <c r="AS626" s="19">
        <f t="shared" si="304"/>
        <v>2.67810625044482</v>
      </c>
      <c r="AT626" s="19">
        <f t="shared" si="305"/>
        <v>2.09916319610991</v>
      </c>
      <c r="AU626" s="19">
        <f t="shared" si="306"/>
        <v>1.64537389925082</v>
      </c>
      <c r="AV626" s="232">
        <f t="shared" si="286"/>
        <v>0.0399999999999991</v>
      </c>
      <c r="AW626" s="232">
        <f t="shared" si="287"/>
        <v>0.0399999999999991</v>
      </c>
      <c r="AX626" s="232">
        <f t="shared" si="288"/>
        <v>0.0399999999999991</v>
      </c>
      <c r="AY626" s="232">
        <f t="shared" si="289"/>
        <v>0.0399999999999991</v>
      </c>
      <c r="AZ626" s="232">
        <f t="shared" si="290"/>
        <v>0.04</v>
      </c>
    </row>
    <row r="627" spans="1:52">
      <c r="A627" s="269"/>
      <c r="C627" s="19">
        <v>504</v>
      </c>
      <c r="D627" s="86">
        <f ca="1" t="shared" si="314"/>
        <v>290.70068290287</v>
      </c>
      <c r="E627" s="251">
        <f ca="1" t="shared" si="291"/>
        <v>0.354479078912483</v>
      </c>
      <c r="F627" s="269">
        <f ca="1" t="shared" si="307"/>
        <v>539.47112805751</v>
      </c>
      <c r="G627" s="283">
        <f ca="1" t="shared" si="308"/>
        <v>191.231228573704</v>
      </c>
      <c r="H627" s="279">
        <f ca="1" t="shared" si="309"/>
        <v>0.174310277332978</v>
      </c>
      <c r="I627" s="269">
        <f ca="1">SUM($J$125:J627)/SUM($H$125:H627)</f>
        <v>0.462482059969844</v>
      </c>
      <c r="J627" s="284">
        <f t="shared" si="315"/>
        <v>0.049583153214769</v>
      </c>
      <c r="K627" s="19">
        <f t="shared" si="317"/>
        <v>51300</v>
      </c>
      <c r="L627" s="269">
        <f t="shared" si="310"/>
        <v>3.56499999999995</v>
      </c>
      <c r="M627" s="226">
        <f ca="1" t="shared" si="311"/>
        <v>1005.312</v>
      </c>
      <c r="N627" s="280">
        <f ca="1" t="shared" si="316"/>
        <v>0.124727124118223</v>
      </c>
      <c r="O627" s="226">
        <f t="shared" si="321"/>
        <v>422.4</v>
      </c>
      <c r="P627" s="19">
        <f ca="1" t="shared" si="285"/>
        <v>14.8</v>
      </c>
      <c r="Q627" s="226">
        <f ca="1" t="shared" si="320"/>
        <v>2.38</v>
      </c>
      <c r="R627" s="269">
        <f ca="1" t="shared" si="292"/>
        <v>1.01097437219753</v>
      </c>
      <c r="S627" s="266">
        <f ca="1" t="shared" si="293"/>
        <v>94.9758708548907</v>
      </c>
      <c r="T627" s="226">
        <f ca="1">(1+OFFSET('玩法产出(新)'!$C$18,MATCH(X627,'玩法产出(新)'!$B$19:$B$25,0),1)*(1-V627)+OFFSET('玩法产出(新)'!$C$18,1+MATCH(X627,'玩法产出(新)'!$B$19:$B$25,0),1)*(V627))^AA627*(1+OFFSET('玩法产出(新)'!$C$18,MATCH(X627,'玩法产出(新)'!$B$19:$B$25,0),3)*(1-V627)+OFFSET('玩法产出(新)'!$C$18,1+MATCH(X627,'玩法产出(新)'!$B$19:$B$25,0),3)*(V627))^AB627*(1+OFFSET('玩法产出(新)'!$C$18,MATCH(X627,'玩法产出(新)'!$B$19:$B$25,0),4)*(1-V627)+OFFSET('玩法产出(新)'!$C$18,1+MATCH(X627,'玩法产出(新)'!$B$19:$B$25,0),4)*(V627))^AC627*(1+OFFSET('玩法产出(新)'!$C$18,MATCH(X627,'玩法产出(新)'!$B$19:$B$25,0),5)*(1+V627)+OFFSET('玩法产出(新)'!$C$18,1+MATCH(X627,'玩法产出(新)'!$B$19:$B$25,5),1)*(V627))^AD627*(1+OFFSET('玩法产出(新)'!$C$18,MATCH(X627,'玩法产出(新)'!$B$19:$B$25,0),6)*(1+V627)+OFFSET('玩法产出(新)'!$C$18,1+MATCH(X627,'玩法产出(新)'!$B$19:$B$25,0),6)*(V627))^AE627</f>
        <v>617.660565415263</v>
      </c>
      <c r="U627" s="226">
        <f ca="1" t="shared" si="312"/>
        <v>0.180168801579491</v>
      </c>
      <c r="V627" s="226">
        <f ca="1">COUNTIF($X$124:$X627,X627)/(COUNTIF($X$124:$X$723,X627)+1)</f>
        <v>0.8</v>
      </c>
      <c r="W627" s="19">
        <v>30</v>
      </c>
      <c r="X627" s="19" t="s">
        <v>326</v>
      </c>
      <c r="Y627" s="19">
        <f t="shared" si="318"/>
        <v>51560</v>
      </c>
      <c r="Z627" s="19">
        <f ca="1" t="shared" si="294"/>
        <v>0</v>
      </c>
      <c r="AA627" s="282">
        <f ca="1" t="shared" si="295"/>
        <v>0</v>
      </c>
      <c r="AB627" s="282">
        <f ca="1" t="shared" si="296"/>
        <v>18</v>
      </c>
      <c r="AC627" s="282">
        <f ca="1" t="shared" si="297"/>
        <v>10.6389</v>
      </c>
      <c r="AD627" s="282">
        <f ca="1" t="shared" si="298"/>
        <v>2.659725</v>
      </c>
      <c r="AE627" s="282">
        <f ca="1" t="shared" si="299"/>
        <v>0.66493125</v>
      </c>
      <c r="AF627" s="19" t="str">
        <f t="shared" si="300"/>
        <v>彩5</v>
      </c>
      <c r="AG627" s="19">
        <f>IFERROR(_xlfn.XLOOKUP(C627+1,[2]基因升级!$E$141:$E$500,[2]基因升级!$D$141:$D$500)-1,AG626)</f>
        <v>116</v>
      </c>
      <c r="AH627" s="19">
        <v>8</v>
      </c>
      <c r="AI627" s="19">
        <f t="shared" si="301"/>
        <v>10.5142500606751</v>
      </c>
      <c r="AJ627" s="19">
        <f t="shared" si="313"/>
        <v>0</v>
      </c>
      <c r="AK627" s="269">
        <v>2.0368</v>
      </c>
      <c r="AL627" s="287">
        <f t="shared" si="322"/>
        <v>21.7999999999997</v>
      </c>
      <c r="AM627" s="287">
        <f t="shared" si="323"/>
        <v>18.1999999999998</v>
      </c>
      <c r="AN627" s="287">
        <f t="shared" si="325"/>
        <v>14.5999999999999</v>
      </c>
      <c r="AO627" s="287">
        <f t="shared" si="319"/>
        <v>10.9999999999999</v>
      </c>
      <c r="AP627" s="287">
        <f t="shared" si="324"/>
        <v>7.4</v>
      </c>
      <c r="AQ627" s="19">
        <f t="shared" si="302"/>
        <v>4.37085453924688</v>
      </c>
      <c r="AR627" s="19">
        <f t="shared" si="303"/>
        <v>3.42597945201504</v>
      </c>
      <c r="AS627" s="19">
        <f t="shared" si="304"/>
        <v>2.68536394891138</v>
      </c>
      <c r="AT627" s="19">
        <f t="shared" si="305"/>
        <v>2.10485195229983</v>
      </c>
      <c r="AU627" s="19">
        <f t="shared" si="306"/>
        <v>1.64983288127348</v>
      </c>
      <c r="AV627" s="232">
        <f t="shared" si="286"/>
        <v>0.0399999999999991</v>
      </c>
      <c r="AW627" s="232">
        <f t="shared" si="287"/>
        <v>0.0399999999999991</v>
      </c>
      <c r="AX627" s="232">
        <f t="shared" si="288"/>
        <v>0.0399999999999991</v>
      </c>
      <c r="AY627" s="232">
        <f t="shared" si="289"/>
        <v>0.0399999999999991</v>
      </c>
      <c r="AZ627" s="232">
        <f t="shared" si="290"/>
        <v>0.04</v>
      </c>
    </row>
    <row r="628" spans="1:52">
      <c r="A628" s="269"/>
      <c r="C628" s="19">
        <v>505</v>
      </c>
      <c r="D628" s="86">
        <f ca="1" t="shared" si="314"/>
        <v>291.054179553851</v>
      </c>
      <c r="E628" s="251">
        <f ca="1" t="shared" si="291"/>
        <v>0.353496650981006</v>
      </c>
      <c r="F628" s="269">
        <f ca="1" t="shared" si="307"/>
        <v>541.460320289958</v>
      </c>
      <c r="G628" s="283">
        <f ca="1" t="shared" si="308"/>
        <v>191.404409861603</v>
      </c>
      <c r="H628" s="279">
        <f ca="1" t="shared" si="309"/>
        <v>0.173181287899013</v>
      </c>
      <c r="I628" s="269">
        <f ca="1">SUM($J$125:J628)/SUM($H$125:H628)</f>
        <v>0.462313401880657</v>
      </c>
      <c r="J628" s="284">
        <f t="shared" si="315"/>
        <v>0.0494979176384334</v>
      </c>
      <c r="K628" s="19">
        <f t="shared" si="317"/>
        <v>51400</v>
      </c>
      <c r="L628" s="269">
        <f t="shared" si="310"/>
        <v>3.56999999999995</v>
      </c>
      <c r="M628" s="226">
        <f ca="1" t="shared" si="311"/>
        <v>1013.76</v>
      </c>
      <c r="N628" s="280">
        <f ca="1" t="shared" si="316"/>
        <v>0.123683370260579</v>
      </c>
      <c r="O628" s="226">
        <f t="shared" si="321"/>
        <v>422.4</v>
      </c>
      <c r="P628" s="19">
        <f ca="1" t="shared" si="285"/>
        <v>15</v>
      </c>
      <c r="Q628" s="226">
        <f ca="1" t="shared" si="320"/>
        <v>2.4</v>
      </c>
      <c r="R628" s="269">
        <f ca="1" t="shared" si="292"/>
        <v>1.0128937461327</v>
      </c>
      <c r="S628" s="266">
        <f ca="1" t="shared" si="293"/>
        <v>95.1561862179727</v>
      </c>
      <c r="T628" s="226">
        <f ca="1">(1+OFFSET('玩法产出(新)'!$C$18,MATCH(X628,'玩法产出(新)'!$B$19:$B$25,0),1)*(1-V628)+OFFSET('玩法产出(新)'!$C$18,1+MATCH(X628,'玩法产出(新)'!$B$19:$B$25,0),1)*(V628))^AA628*(1+OFFSET('玩法产出(新)'!$C$18,MATCH(X628,'玩法产出(新)'!$B$19:$B$25,0),3)*(1-V628)+OFFSET('玩法产出(新)'!$C$18,1+MATCH(X628,'玩法产出(新)'!$B$19:$B$25,0),3)*(V628))^AB628*(1+OFFSET('玩法产出(新)'!$C$18,MATCH(X628,'玩法产出(新)'!$B$19:$B$25,0),4)*(1-V628)+OFFSET('玩法产出(新)'!$C$18,1+MATCH(X628,'玩法产出(新)'!$B$19:$B$25,0),4)*(V628))^AC628*(1+OFFSET('玩法产出(新)'!$C$18,MATCH(X628,'玩法产出(新)'!$B$19:$B$25,0),5)*(1+V628)+OFFSET('玩法产出(新)'!$C$18,1+MATCH(X628,'玩法产出(新)'!$B$19:$B$25,5),1)*(V628))^AD628*(1+OFFSET('玩法产出(新)'!$C$18,MATCH(X628,'玩法产出(新)'!$B$19:$B$25,0),6)*(1+V628)+OFFSET('玩法产出(新)'!$C$18,1+MATCH(X628,'玩法产出(新)'!$B$19:$B$25,0),6)*(V628))^AE628</f>
        <v>625.242111691275</v>
      </c>
      <c r="U628" s="226">
        <f ca="1" t="shared" si="312"/>
        <v>0.180315363081994</v>
      </c>
      <c r="V628" s="226">
        <f ca="1">COUNTIF($X$124:$X628,X628)/(COUNTIF($X$124:$X$723,X628)+1)</f>
        <v>0.802061855670103</v>
      </c>
      <c r="W628" s="19">
        <v>30</v>
      </c>
      <c r="X628" s="19" t="s">
        <v>326</v>
      </c>
      <c r="Y628" s="19">
        <f t="shared" si="318"/>
        <v>51660</v>
      </c>
      <c r="Z628" s="19">
        <f ca="1" t="shared" si="294"/>
        <v>0</v>
      </c>
      <c r="AA628" s="282">
        <f ca="1" t="shared" si="295"/>
        <v>0</v>
      </c>
      <c r="AB628" s="282">
        <f ca="1" t="shared" si="296"/>
        <v>18</v>
      </c>
      <c r="AC628" s="282">
        <f ca="1" t="shared" si="297"/>
        <v>10.65975</v>
      </c>
      <c r="AD628" s="282">
        <f ca="1" t="shared" si="298"/>
        <v>2.6649375</v>
      </c>
      <c r="AE628" s="282">
        <f ca="1" t="shared" si="299"/>
        <v>0.666234375</v>
      </c>
      <c r="AF628" s="19" t="str">
        <f t="shared" si="300"/>
        <v>彩5</v>
      </c>
      <c r="AG628" s="19">
        <f>IFERROR(_xlfn.XLOOKUP(C628+1,[2]基因升级!$E$141:$E$500,[2]基因升级!$D$141:$D$500)-1,AG627)</f>
        <v>116</v>
      </c>
      <c r="AH628" s="19">
        <v>8</v>
      </c>
      <c r="AI628" s="19">
        <f t="shared" si="301"/>
        <v>10.5142500606751</v>
      </c>
      <c r="AJ628" s="19">
        <f t="shared" si="313"/>
        <v>0</v>
      </c>
      <c r="AK628" s="269">
        <v>2.0368</v>
      </c>
      <c r="AL628" s="287">
        <f t="shared" si="322"/>
        <v>21.8399999999997</v>
      </c>
      <c r="AM628" s="287">
        <f t="shared" si="323"/>
        <v>18.2399999999998</v>
      </c>
      <c r="AN628" s="287">
        <f t="shared" si="325"/>
        <v>14.6399999999999</v>
      </c>
      <c r="AO628" s="287">
        <f t="shared" si="319"/>
        <v>11.0399999999999</v>
      </c>
      <c r="AP628" s="287">
        <f t="shared" si="324"/>
        <v>7.44</v>
      </c>
      <c r="AQ628" s="19">
        <f t="shared" si="302"/>
        <v>4.38269960487181</v>
      </c>
      <c r="AR628" s="19">
        <f t="shared" si="303"/>
        <v>3.43526389538289</v>
      </c>
      <c r="AS628" s="19">
        <f t="shared" si="304"/>
        <v>2.69264131582352</v>
      </c>
      <c r="AT628" s="19">
        <f t="shared" si="305"/>
        <v>2.11055612508386</v>
      </c>
      <c r="AU628" s="19">
        <f t="shared" si="306"/>
        <v>1.65430394718825</v>
      </c>
      <c r="AV628" s="232">
        <f t="shared" si="286"/>
        <v>0.0399999999999991</v>
      </c>
      <c r="AW628" s="232">
        <f t="shared" si="287"/>
        <v>0.0399999999999991</v>
      </c>
      <c r="AX628" s="232">
        <f t="shared" si="288"/>
        <v>0.0399999999999991</v>
      </c>
      <c r="AY628" s="232">
        <f t="shared" si="289"/>
        <v>0.0399999999999991</v>
      </c>
      <c r="AZ628" s="232">
        <f t="shared" si="290"/>
        <v>0.04</v>
      </c>
    </row>
    <row r="629" spans="1:52">
      <c r="A629" s="269"/>
      <c r="C629" s="19">
        <v>506</v>
      </c>
      <c r="D629" s="86">
        <f ca="1" t="shared" si="314"/>
        <v>291.40671133373</v>
      </c>
      <c r="E629" s="251">
        <f ca="1" t="shared" si="291"/>
        <v>0.352531779879521</v>
      </c>
      <c r="F629" s="269">
        <f ca="1" t="shared" si="307"/>
        <v>543.43038193395</v>
      </c>
      <c r="G629" s="283">
        <f ca="1" t="shared" si="308"/>
        <v>191.576479783783</v>
      </c>
      <c r="H629" s="279">
        <f ca="1" t="shared" si="309"/>
        <v>0.172069922179958</v>
      </c>
      <c r="I629" s="269">
        <f ca="1">SUM($J$125:J629)/SUM($H$125:H629)</f>
        <v>0.462147426367972</v>
      </c>
      <c r="J629" s="284">
        <f t="shared" si="315"/>
        <v>0.0494129817607529</v>
      </c>
      <c r="K629" s="19">
        <f t="shared" si="317"/>
        <v>51500</v>
      </c>
      <c r="L629" s="269">
        <f t="shared" si="310"/>
        <v>3.57499999999995</v>
      </c>
      <c r="M629" s="226">
        <f ca="1" t="shared" si="311"/>
        <v>1022.208</v>
      </c>
      <c r="N629" s="280">
        <f ca="1" t="shared" si="316"/>
        <v>0.122656940419176</v>
      </c>
      <c r="O629" s="226">
        <f t="shared" si="321"/>
        <v>422.4</v>
      </c>
      <c r="P629" s="19">
        <f ca="1" t="shared" si="285"/>
        <v>15.2</v>
      </c>
      <c r="Q629" s="226">
        <f ca="1" t="shared" si="320"/>
        <v>2.42</v>
      </c>
      <c r="R629" s="269">
        <f ca="1" t="shared" si="292"/>
        <v>1.01481467943556</v>
      </c>
      <c r="S629" s="266">
        <f ca="1" t="shared" si="293"/>
        <v>95.3366480756723</v>
      </c>
      <c r="T629" s="226">
        <f ca="1">(1+OFFSET('玩法产出(新)'!$C$18,MATCH(X629,'玩法产出(新)'!$B$19:$B$25,0),1)*(1-V629)+OFFSET('玩法产出(新)'!$C$18,1+MATCH(X629,'玩法产出(新)'!$B$19:$B$25,0),1)*(V629))^AA629*(1+OFFSET('玩法产出(新)'!$C$18,MATCH(X629,'玩法产出(新)'!$B$19:$B$25,0),3)*(1-V629)+OFFSET('玩法产出(新)'!$C$18,1+MATCH(X629,'玩法产出(新)'!$B$19:$B$25,0),3)*(V629))^AB629*(1+OFFSET('玩法产出(新)'!$C$18,MATCH(X629,'玩法产出(新)'!$B$19:$B$25,0),4)*(1-V629)+OFFSET('玩法产出(新)'!$C$18,1+MATCH(X629,'玩法产出(新)'!$B$19:$B$25,0),4)*(V629))^AC629*(1+OFFSET('玩法产出(新)'!$C$18,MATCH(X629,'玩法产出(新)'!$B$19:$B$25,0),5)*(1+V629)+OFFSET('玩法产出(新)'!$C$18,1+MATCH(X629,'玩法产出(新)'!$B$19:$B$25,5),1)*(V629))^AD629*(1+OFFSET('玩法产出(新)'!$C$18,MATCH(X629,'玩法产出(新)'!$B$19:$B$25,0),6)*(1+V629)+OFFSET('玩法产出(新)'!$C$18,1+MATCH(X629,'玩法产出(新)'!$B$19:$B$25,0),6)*(V629))^AE629</f>
        <v>632.922991802777</v>
      </c>
      <c r="U629" s="226">
        <f ca="1" t="shared" si="312"/>
        <v>0.180461857699591</v>
      </c>
      <c r="V629" s="226">
        <f ca="1">COUNTIF($X$124:$X629,X629)/(COUNTIF($X$124:$X$723,X629)+1)</f>
        <v>0.804123711340206</v>
      </c>
      <c r="W629" s="19">
        <v>30</v>
      </c>
      <c r="X629" s="19" t="s">
        <v>326</v>
      </c>
      <c r="Y629" s="19">
        <f t="shared" si="318"/>
        <v>51760</v>
      </c>
      <c r="Z629" s="19">
        <f ca="1" t="shared" si="294"/>
        <v>0</v>
      </c>
      <c r="AA629" s="282">
        <f ca="1" t="shared" si="295"/>
        <v>0</v>
      </c>
      <c r="AB629" s="282">
        <f ca="1" t="shared" si="296"/>
        <v>18</v>
      </c>
      <c r="AC629" s="282">
        <f ca="1" t="shared" si="297"/>
        <v>10.6806</v>
      </c>
      <c r="AD629" s="282">
        <f ca="1" t="shared" si="298"/>
        <v>2.67015</v>
      </c>
      <c r="AE629" s="282">
        <f ca="1" t="shared" si="299"/>
        <v>0.6675375</v>
      </c>
      <c r="AF629" s="19" t="str">
        <f t="shared" si="300"/>
        <v>彩5</v>
      </c>
      <c r="AG629" s="19">
        <f>IFERROR(_xlfn.XLOOKUP(C629+1,[2]基因升级!$E$141:$E$500,[2]基因升级!$D$141:$D$500)-1,AG628)</f>
        <v>117</v>
      </c>
      <c r="AH629" s="19">
        <v>8</v>
      </c>
      <c r="AI629" s="19">
        <f t="shared" si="301"/>
        <v>10.5142500606751</v>
      </c>
      <c r="AJ629" s="19">
        <f t="shared" si="313"/>
        <v>0</v>
      </c>
      <c r="AK629" s="269">
        <v>2.0368</v>
      </c>
      <c r="AL629" s="287">
        <f t="shared" si="322"/>
        <v>21.8799999999997</v>
      </c>
      <c r="AM629" s="287">
        <f t="shared" si="323"/>
        <v>18.2799999999998</v>
      </c>
      <c r="AN629" s="287">
        <f t="shared" si="325"/>
        <v>14.6799999999999</v>
      </c>
      <c r="AO629" s="287">
        <f t="shared" si="319"/>
        <v>11.0799999999999</v>
      </c>
      <c r="AP629" s="287">
        <f t="shared" si="324"/>
        <v>7.48</v>
      </c>
      <c r="AQ629" s="19">
        <f t="shared" si="302"/>
        <v>4.3945767707596</v>
      </c>
      <c r="AR629" s="19">
        <f t="shared" si="303"/>
        <v>3.44457349969811</v>
      </c>
      <c r="AS629" s="19">
        <f t="shared" si="304"/>
        <v>2.69993840448294</v>
      </c>
      <c r="AT629" s="19">
        <f t="shared" si="305"/>
        <v>2.11627575624116</v>
      </c>
      <c r="AU629" s="19">
        <f t="shared" si="306"/>
        <v>1.65878712974261</v>
      </c>
      <c r="AV629" s="232">
        <f t="shared" si="286"/>
        <v>0.0399999999999991</v>
      </c>
      <c r="AW629" s="232">
        <f t="shared" si="287"/>
        <v>0.0399999999999991</v>
      </c>
      <c r="AX629" s="232">
        <f t="shared" si="288"/>
        <v>0.0399999999999991</v>
      </c>
      <c r="AY629" s="232">
        <f t="shared" si="289"/>
        <v>0.0399999999999991</v>
      </c>
      <c r="AZ629" s="232">
        <f t="shared" si="290"/>
        <v>0.04</v>
      </c>
    </row>
    <row r="630" spans="1:52">
      <c r="A630" s="269"/>
      <c r="C630" s="19">
        <v>507</v>
      </c>
      <c r="D630" s="86">
        <f ca="1" t="shared" si="314"/>
        <v>291.758295370038</v>
      </c>
      <c r="E630" s="251">
        <f ca="1" t="shared" si="291"/>
        <v>0.351584036308016</v>
      </c>
      <c r="F630" s="269">
        <f ca="1" t="shared" si="307"/>
        <v>545.381575193585</v>
      </c>
      <c r="G630" s="283">
        <f ca="1" t="shared" si="308"/>
        <v>191.747455534584</v>
      </c>
      <c r="H630" s="279">
        <f ca="1" t="shared" si="309"/>
        <v>0.170975750800807</v>
      </c>
      <c r="I630" s="269">
        <f ca="1">SUM($J$125:J630)/SUM($H$125:H630)</f>
        <v>0.46198408070161</v>
      </c>
      <c r="J630" s="284">
        <f t="shared" si="315"/>
        <v>0.0493283439700463</v>
      </c>
      <c r="K630" s="19">
        <f t="shared" si="317"/>
        <v>51600</v>
      </c>
      <c r="L630" s="269">
        <f t="shared" si="310"/>
        <v>3.57999999999995</v>
      </c>
      <c r="M630" s="226">
        <f ca="1" t="shared" si="311"/>
        <v>1030.656</v>
      </c>
      <c r="N630" s="280">
        <f ca="1" t="shared" si="316"/>
        <v>0.121647406830789</v>
      </c>
      <c r="O630" s="226">
        <f t="shared" si="321"/>
        <v>422.4</v>
      </c>
      <c r="P630" s="19">
        <f ca="1" t="shared" si="285"/>
        <v>15.4</v>
      </c>
      <c r="Q630" s="226">
        <f ca="1" t="shared" si="320"/>
        <v>2.44</v>
      </c>
      <c r="R630" s="269">
        <f ca="1" t="shared" si="292"/>
        <v>1.01673717139495</v>
      </c>
      <c r="S630" s="266">
        <f ca="1" t="shared" si="293"/>
        <v>95.5172563611795</v>
      </c>
      <c r="T630" s="226">
        <f ca="1">(1+OFFSET('玩法产出(新)'!$C$18,MATCH(X630,'玩法产出(新)'!$B$19:$B$25,0),1)*(1-V630)+OFFSET('玩法产出(新)'!$C$18,1+MATCH(X630,'玩法产出(新)'!$B$19:$B$25,0),1)*(V630))^AA630*(1+OFFSET('玩法产出(新)'!$C$18,MATCH(X630,'玩法产出(新)'!$B$19:$B$25,0),3)*(1-V630)+OFFSET('玩法产出(新)'!$C$18,1+MATCH(X630,'玩法产出(新)'!$B$19:$B$25,0),3)*(V630))^AB630*(1+OFFSET('玩法产出(新)'!$C$18,MATCH(X630,'玩法产出(新)'!$B$19:$B$25,0),4)*(1-V630)+OFFSET('玩法产出(新)'!$C$18,1+MATCH(X630,'玩法产出(新)'!$B$19:$B$25,0),4)*(V630))^AC630*(1+OFFSET('玩法产出(新)'!$C$18,MATCH(X630,'玩法产出(新)'!$B$19:$B$25,0),5)*(1+V630)+OFFSET('玩法产出(新)'!$C$18,1+MATCH(X630,'玩法产出(新)'!$B$19:$B$25,5),1)*(V630))^AD630*(1+OFFSET('玩法产出(新)'!$C$18,MATCH(X630,'玩法产出(新)'!$B$19:$B$25,0),6)*(1+V630)+OFFSET('玩法产出(新)'!$C$18,1+MATCH(X630,'玩法产出(新)'!$B$19:$B$25,0),6)*(V630))^AE630</f>
        <v>640.704576330986</v>
      </c>
      <c r="U630" s="226">
        <f ca="1" t="shared" si="312"/>
        <v>0.18060828550718</v>
      </c>
      <c r="V630" s="226">
        <f ca="1">COUNTIF($X$124:$X630,X630)/(COUNTIF($X$124:$X$723,X630)+1)</f>
        <v>0.806185567010309</v>
      </c>
      <c r="W630" s="19">
        <v>30</v>
      </c>
      <c r="X630" s="19" t="s">
        <v>326</v>
      </c>
      <c r="Y630" s="19">
        <f t="shared" si="318"/>
        <v>51860</v>
      </c>
      <c r="Z630" s="19">
        <f ca="1" t="shared" si="294"/>
        <v>0</v>
      </c>
      <c r="AA630" s="282">
        <f ca="1" t="shared" si="295"/>
        <v>0</v>
      </c>
      <c r="AB630" s="282">
        <f ca="1" t="shared" si="296"/>
        <v>18</v>
      </c>
      <c r="AC630" s="282">
        <f ca="1" t="shared" si="297"/>
        <v>10.70145</v>
      </c>
      <c r="AD630" s="282">
        <f ca="1" t="shared" si="298"/>
        <v>2.6753625</v>
      </c>
      <c r="AE630" s="282">
        <f ca="1" t="shared" si="299"/>
        <v>0.668840625</v>
      </c>
      <c r="AF630" s="19" t="str">
        <f t="shared" si="300"/>
        <v>彩5</v>
      </c>
      <c r="AG630" s="19">
        <f>IFERROR(_xlfn.XLOOKUP(C630+1,[2]基因升级!$E$141:$E$500,[2]基因升级!$D$141:$D$500)-1,AG629)</f>
        <v>117</v>
      </c>
      <c r="AH630" s="19">
        <v>8</v>
      </c>
      <c r="AI630" s="19">
        <f t="shared" si="301"/>
        <v>10.5142500606751</v>
      </c>
      <c r="AJ630" s="19">
        <f t="shared" si="313"/>
        <v>0</v>
      </c>
      <c r="AK630" s="269">
        <v>2.0368</v>
      </c>
      <c r="AL630" s="287">
        <f t="shared" si="322"/>
        <v>21.9199999999997</v>
      </c>
      <c r="AM630" s="287">
        <f t="shared" si="323"/>
        <v>18.3199999999998</v>
      </c>
      <c r="AN630" s="287">
        <f t="shared" si="325"/>
        <v>14.7199999999999</v>
      </c>
      <c r="AO630" s="287">
        <f t="shared" si="319"/>
        <v>11.1199999999999</v>
      </c>
      <c r="AP630" s="287">
        <f t="shared" si="324"/>
        <v>7.52</v>
      </c>
      <c r="AQ630" s="19">
        <f t="shared" si="302"/>
        <v>4.40648612390234</v>
      </c>
      <c r="AR630" s="19">
        <f t="shared" si="303"/>
        <v>3.45390833314714</v>
      </c>
      <c r="AS630" s="19">
        <f t="shared" si="304"/>
        <v>2.70725526833581</v>
      </c>
      <c r="AT630" s="19">
        <f t="shared" si="305"/>
        <v>2.1220108876641</v>
      </c>
      <c r="AU630" s="19">
        <f t="shared" si="306"/>
        <v>1.6632824617728</v>
      </c>
      <c r="AV630" s="232">
        <f t="shared" si="286"/>
        <v>0.0399999999999991</v>
      </c>
      <c r="AW630" s="232">
        <f t="shared" si="287"/>
        <v>0.0399999999999991</v>
      </c>
      <c r="AX630" s="232">
        <f t="shared" si="288"/>
        <v>0.0399999999999991</v>
      </c>
      <c r="AY630" s="232">
        <f t="shared" si="289"/>
        <v>0.0399999999999991</v>
      </c>
      <c r="AZ630" s="232">
        <f t="shared" si="290"/>
        <v>0.04</v>
      </c>
    </row>
    <row r="631" spans="1:52">
      <c r="A631" s="269"/>
      <c r="C631" s="19">
        <v>508</v>
      </c>
      <c r="D631" s="86">
        <f ca="1" t="shared" si="314"/>
        <v>292.108948374984</v>
      </c>
      <c r="E631" s="251">
        <f ca="1" t="shared" si="291"/>
        <v>0.350653004946052</v>
      </c>
      <c r="F631" s="269">
        <f ca="1" t="shared" si="307"/>
        <v>547.314157260614</v>
      </c>
      <c r="G631" s="283">
        <f ca="1" t="shared" si="308"/>
        <v>191.917353892951</v>
      </c>
      <c r="H631" s="279">
        <f ca="1" t="shared" si="309"/>
        <v>0.169898358366567</v>
      </c>
      <c r="I631" s="269">
        <f ca="1">SUM($J$125:J631)/SUM($H$125:H631)</f>
        <v>0.461823313553174</v>
      </c>
      <c r="J631" s="284">
        <f t="shared" si="315"/>
        <v>0.0492440026662848</v>
      </c>
      <c r="K631" s="19">
        <f t="shared" si="317"/>
        <v>51700</v>
      </c>
      <c r="L631" s="269">
        <f t="shared" si="310"/>
        <v>3.58499999999995</v>
      </c>
      <c r="M631" s="226">
        <f ca="1" t="shared" si="311"/>
        <v>1039.104</v>
      </c>
      <c r="N631" s="280">
        <f ca="1" t="shared" si="316"/>
        <v>0.120654355700296</v>
      </c>
      <c r="O631" s="226">
        <f t="shared" si="321"/>
        <v>422.4</v>
      </c>
      <c r="P631" s="19">
        <f ca="1" t="shared" ref="P631:P694" si="326">IF(O631=O630,P630+OFFSET($H$75,MATCH(P630,$G$76:$G$84,1),0),10)</f>
        <v>15.6</v>
      </c>
      <c r="Q631" s="226">
        <f ca="1" t="shared" si="320"/>
        <v>2.46</v>
      </c>
      <c r="R631" s="269">
        <f ca="1" t="shared" si="292"/>
        <v>1.01866122130049</v>
      </c>
      <c r="S631" s="266">
        <f ca="1" t="shared" si="293"/>
        <v>95.6980110077589</v>
      </c>
      <c r="T631" s="226">
        <f ca="1">(1+OFFSET('玩法产出(新)'!$C$18,MATCH(X631,'玩法产出(新)'!$B$19:$B$25,0),1)*(1-V631)+OFFSET('玩法产出(新)'!$C$18,1+MATCH(X631,'玩法产出(新)'!$B$19:$B$25,0),1)*(V631))^AA631*(1+OFFSET('玩法产出(新)'!$C$18,MATCH(X631,'玩法产出(新)'!$B$19:$B$25,0),3)*(1-V631)+OFFSET('玩法产出(新)'!$C$18,1+MATCH(X631,'玩法产出(新)'!$B$19:$B$25,0),3)*(V631))^AB631*(1+OFFSET('玩法产出(新)'!$C$18,MATCH(X631,'玩法产出(新)'!$B$19:$B$25,0),4)*(1-V631)+OFFSET('玩法产出(新)'!$C$18,1+MATCH(X631,'玩法产出(新)'!$B$19:$B$25,0),4)*(V631))^AC631*(1+OFFSET('玩法产出(新)'!$C$18,MATCH(X631,'玩法产出(新)'!$B$19:$B$25,0),5)*(1+V631)+OFFSET('玩法产出(新)'!$C$18,1+MATCH(X631,'玩法产出(新)'!$B$19:$B$25,5),1)*(V631))^AD631*(1+OFFSET('玩法产出(新)'!$C$18,MATCH(X631,'玩法产出(新)'!$B$19:$B$25,0),6)*(1+V631)+OFFSET('玩法产出(新)'!$C$18,1+MATCH(X631,'玩法产出(新)'!$B$19:$B$25,0),6)*(V631))^AE631</f>
        <v>648.588255610376</v>
      </c>
      <c r="U631" s="226">
        <f ca="1" t="shared" si="312"/>
        <v>0.180754646579471</v>
      </c>
      <c r="V631" s="226">
        <f ca="1">COUNTIF($X$124:$X631,X631)/(COUNTIF($X$124:$X$723,X631)+1)</f>
        <v>0.808247422680412</v>
      </c>
      <c r="W631" s="19">
        <v>30</v>
      </c>
      <c r="X631" s="19" t="s">
        <v>326</v>
      </c>
      <c r="Y631" s="19">
        <f t="shared" si="318"/>
        <v>51960</v>
      </c>
      <c r="Z631" s="19">
        <f ca="1" t="shared" si="294"/>
        <v>0</v>
      </c>
      <c r="AA631" s="282">
        <f ca="1" t="shared" si="295"/>
        <v>0</v>
      </c>
      <c r="AB631" s="282">
        <f ca="1" t="shared" si="296"/>
        <v>18</v>
      </c>
      <c r="AC631" s="282">
        <f ca="1" t="shared" si="297"/>
        <v>10.7223</v>
      </c>
      <c r="AD631" s="282">
        <f ca="1" t="shared" si="298"/>
        <v>2.680575</v>
      </c>
      <c r="AE631" s="282">
        <f ca="1" t="shared" si="299"/>
        <v>0.67014375</v>
      </c>
      <c r="AF631" s="19" t="str">
        <f t="shared" si="300"/>
        <v>彩5</v>
      </c>
      <c r="AG631" s="19">
        <f>IFERROR(_xlfn.XLOOKUP(C631+1,[2]基因升级!$E$141:$E$500,[2]基因升级!$D$141:$D$500)-1,AG630)</f>
        <v>117</v>
      </c>
      <c r="AH631" s="19">
        <v>8</v>
      </c>
      <c r="AI631" s="19">
        <f t="shared" si="301"/>
        <v>10.5142500606751</v>
      </c>
      <c r="AJ631" s="19">
        <f t="shared" si="313"/>
        <v>0</v>
      </c>
      <c r="AK631" s="269">
        <v>2.0368</v>
      </c>
      <c r="AL631" s="287">
        <f t="shared" si="322"/>
        <v>21.9599999999997</v>
      </c>
      <c r="AM631" s="287">
        <f t="shared" si="323"/>
        <v>18.3599999999998</v>
      </c>
      <c r="AN631" s="287">
        <f t="shared" si="325"/>
        <v>14.7599999999999</v>
      </c>
      <c r="AO631" s="287">
        <f t="shared" si="319"/>
        <v>11.1599999999999</v>
      </c>
      <c r="AP631" s="287">
        <f t="shared" si="324"/>
        <v>7.56</v>
      </c>
      <c r="AQ631" s="19">
        <f t="shared" si="302"/>
        <v>4.41842775152785</v>
      </c>
      <c r="AR631" s="19">
        <f t="shared" si="303"/>
        <v>3.46326846410122</v>
      </c>
      <c r="AS631" s="19">
        <f t="shared" si="304"/>
        <v>2.71459196097312</v>
      </c>
      <c r="AT631" s="19">
        <f t="shared" si="305"/>
        <v>2.12776156135857</v>
      </c>
      <c r="AU631" s="19">
        <f t="shared" si="306"/>
        <v>1.66778997620404</v>
      </c>
      <c r="AV631" s="232">
        <f t="shared" ref="AV631:AV694" si="327">AL631-AL630</f>
        <v>0.0399999999999991</v>
      </c>
      <c r="AW631" s="232">
        <f t="shared" ref="AW631:AW694" si="328">AM631-AM630</f>
        <v>0.0399999999999991</v>
      </c>
      <c r="AX631" s="232">
        <f t="shared" ref="AX631:AX694" si="329">AN631-AN630</f>
        <v>0.0399999999999991</v>
      </c>
      <c r="AY631" s="232">
        <f t="shared" ref="AY631:AY694" si="330">AO631-AO630</f>
        <v>0.0399999999999991</v>
      </c>
      <c r="AZ631" s="232">
        <f t="shared" ref="AZ631:AZ694" si="331">AP631-AP630</f>
        <v>0.04</v>
      </c>
    </row>
    <row r="632" spans="1:52">
      <c r="A632" s="269"/>
      <c r="C632" s="19">
        <v>509</v>
      </c>
      <c r="D632" s="86">
        <f ca="1" t="shared" si="314"/>
        <v>292.458686658872</v>
      </c>
      <c r="E632" s="251">
        <f ca="1" t="shared" si="291"/>
        <v>0.349738283887392</v>
      </c>
      <c r="F632" s="269">
        <f ca="1" t="shared" si="307"/>
        <v>549.228380435739</v>
      </c>
      <c r="G632" s="283">
        <f ca="1" t="shared" si="308"/>
        <v>192.086191235847</v>
      </c>
      <c r="H632" s="279">
        <f ca="1" t="shared" si="309"/>
        <v>0.168837342896353</v>
      </c>
      <c r="I632" s="269">
        <f ca="1">SUM($J$125:J632)/SUM($H$125:H632)</f>
        <v>0.461665074948197</v>
      </c>
      <c r="J632" s="284">
        <f t="shared" si="315"/>
        <v>0.0491599562610787</v>
      </c>
      <c r="K632" s="19">
        <f t="shared" si="317"/>
        <v>51800</v>
      </c>
      <c r="L632" s="269">
        <f t="shared" si="310"/>
        <v>3.58999999999995</v>
      </c>
      <c r="M632" s="226">
        <f ca="1" t="shared" si="311"/>
        <v>1047.552</v>
      </c>
      <c r="N632" s="280">
        <f ca="1" t="shared" si="316"/>
        <v>0.119677386635246</v>
      </c>
      <c r="O632" s="226">
        <f t="shared" si="321"/>
        <v>422.4</v>
      </c>
      <c r="P632" s="19">
        <f ca="1" t="shared" si="326"/>
        <v>15.8</v>
      </c>
      <c r="Q632" s="226">
        <f ca="1" t="shared" si="320"/>
        <v>2.48</v>
      </c>
      <c r="R632" s="269">
        <f ca="1" t="shared" si="292"/>
        <v>1.02058682844263</v>
      </c>
      <c r="S632" s="266">
        <f ca="1" t="shared" si="293"/>
        <v>95.87891194875</v>
      </c>
      <c r="T632" s="226">
        <f ca="1">(1+OFFSET('玩法产出(新)'!$C$18,MATCH(X632,'玩法产出(新)'!$B$19:$B$25,0),1)*(1-V632)+OFFSET('玩法产出(新)'!$C$18,1+MATCH(X632,'玩法产出(新)'!$B$19:$B$25,0),1)*(V632))^AA632*(1+OFFSET('玩法产出(新)'!$C$18,MATCH(X632,'玩法产出(新)'!$B$19:$B$25,0),3)*(1-V632)+OFFSET('玩法产出(新)'!$C$18,1+MATCH(X632,'玩法产出(新)'!$B$19:$B$25,0),3)*(V632))^AB632*(1+OFFSET('玩法产出(新)'!$C$18,MATCH(X632,'玩法产出(新)'!$B$19:$B$25,0),4)*(1-V632)+OFFSET('玩法产出(新)'!$C$18,1+MATCH(X632,'玩法产出(新)'!$B$19:$B$25,0),4)*(V632))^AC632*(1+OFFSET('玩法产出(新)'!$C$18,MATCH(X632,'玩法产出(新)'!$B$19:$B$25,0),5)*(1+V632)+OFFSET('玩法产出(新)'!$C$18,1+MATCH(X632,'玩法产出(新)'!$B$19:$B$25,5),1)*(V632))^AD632*(1+OFFSET('玩法产出(新)'!$C$18,MATCH(X632,'玩法产出(新)'!$B$19:$B$25,0),6)*(1+V632)+OFFSET('玩法产出(新)'!$C$18,1+MATCH(X632,'玩法产出(新)'!$B$19:$B$25,0),6)*(V632))^AE632</f>
        <v>656.575440024347</v>
      </c>
      <c r="U632" s="226">
        <f ca="1" t="shared" si="312"/>
        <v>0.180900940991067</v>
      </c>
      <c r="V632" s="226">
        <f ca="1">COUNTIF($X$124:$X632,X632)/(COUNTIF($X$124:$X$723,X632)+1)</f>
        <v>0.810309278350515</v>
      </c>
      <c r="W632" s="19">
        <v>30</v>
      </c>
      <c r="X632" s="19" t="s">
        <v>326</v>
      </c>
      <c r="Y632" s="19">
        <f t="shared" si="318"/>
        <v>52060</v>
      </c>
      <c r="Z632" s="19">
        <f ca="1" t="shared" si="294"/>
        <v>0</v>
      </c>
      <c r="AA632" s="282">
        <f ca="1" t="shared" si="295"/>
        <v>0</v>
      </c>
      <c r="AB632" s="282">
        <f ca="1" t="shared" si="296"/>
        <v>18</v>
      </c>
      <c r="AC632" s="282">
        <f ca="1" t="shared" si="297"/>
        <v>10.74315</v>
      </c>
      <c r="AD632" s="282">
        <f ca="1" t="shared" si="298"/>
        <v>2.6857875</v>
      </c>
      <c r="AE632" s="282">
        <f ca="1" t="shared" si="299"/>
        <v>0.671446875</v>
      </c>
      <c r="AF632" s="19" t="str">
        <f t="shared" si="300"/>
        <v>彩5</v>
      </c>
      <c r="AG632" s="19">
        <f>IFERROR(_xlfn.XLOOKUP(C632+1,[2]基因升级!$E$141:$E$500,[2]基因升级!$D$141:$D$500)-1,AG631)</f>
        <v>117</v>
      </c>
      <c r="AH632" s="19">
        <v>8</v>
      </c>
      <c r="AI632" s="19">
        <f t="shared" si="301"/>
        <v>10.5142500606751</v>
      </c>
      <c r="AJ632" s="19">
        <f t="shared" si="313"/>
        <v>0</v>
      </c>
      <c r="AK632" s="269">
        <v>2.0368</v>
      </c>
      <c r="AL632" s="287">
        <f t="shared" si="322"/>
        <v>21.9999999999997</v>
      </c>
      <c r="AM632" s="287">
        <f t="shared" si="323"/>
        <v>18.3999999999998</v>
      </c>
      <c r="AN632" s="287">
        <f t="shared" si="325"/>
        <v>14.7999999999999</v>
      </c>
      <c r="AO632" s="287">
        <f t="shared" si="319"/>
        <v>11.1999999999999</v>
      </c>
      <c r="AP632" s="287">
        <f t="shared" si="324"/>
        <v>7.6</v>
      </c>
      <c r="AQ632" s="19">
        <f t="shared" si="302"/>
        <v>4.43040174110034</v>
      </c>
      <c r="AR632" s="19">
        <f t="shared" si="303"/>
        <v>3.47265396111689</v>
      </c>
      <c r="AS632" s="19">
        <f t="shared" si="304"/>
        <v>2.72194853613112</v>
      </c>
      <c r="AT632" s="19">
        <f t="shared" si="305"/>
        <v>2.1335278194443</v>
      </c>
      <c r="AU632" s="19">
        <f t="shared" si="306"/>
        <v>1.67230970605077</v>
      </c>
      <c r="AV632" s="232">
        <f t="shared" si="327"/>
        <v>0.0399999999999991</v>
      </c>
      <c r="AW632" s="232">
        <f t="shared" si="328"/>
        <v>0.0399999999999991</v>
      </c>
      <c r="AX632" s="232">
        <f t="shared" si="329"/>
        <v>0.0399999999999991</v>
      </c>
      <c r="AY632" s="232">
        <f t="shared" si="330"/>
        <v>0.0399999999999991</v>
      </c>
      <c r="AZ632" s="232">
        <f t="shared" si="331"/>
        <v>0.04</v>
      </c>
    </row>
    <row r="633" spans="1:52">
      <c r="A633" s="269"/>
      <c r="C633" s="19">
        <v>510</v>
      </c>
      <c r="D633" s="86">
        <f ca="1" t="shared" si="314"/>
        <v>292.807526142974</v>
      </c>
      <c r="E633" s="251">
        <f ca="1" t="shared" si="291"/>
        <v>0.348839484101719</v>
      </c>
      <c r="F633" s="269">
        <f ca="1" t="shared" si="307"/>
        <v>551.124492246619</v>
      </c>
      <c r="G633" s="283">
        <f ca="1" t="shared" si="308"/>
        <v>192.253983551132</v>
      </c>
      <c r="H633" s="279">
        <f ca="1" t="shared" si="309"/>
        <v>0.167792315285254</v>
      </c>
      <c r="I633" s="269">
        <f ca="1">SUM($J$125:J633)/SUM($H$125:H633)</f>
        <v>0.461509316220288</v>
      </c>
      <c r="J633" s="284">
        <f t="shared" si="315"/>
        <v>0.049076203177691</v>
      </c>
      <c r="K633" s="19">
        <f t="shared" si="317"/>
        <v>51900</v>
      </c>
      <c r="L633" s="269">
        <f t="shared" si="310"/>
        <v>3.59499999999995</v>
      </c>
      <c r="M633" s="226">
        <f ca="1" t="shared" si="311"/>
        <v>1056</v>
      </c>
      <c r="N633" s="280">
        <f ca="1" t="shared" si="316"/>
        <v>0.118716112107563</v>
      </c>
      <c r="O633" s="226">
        <f t="shared" si="321"/>
        <v>422.4</v>
      </c>
      <c r="P633" s="19">
        <f ca="1" t="shared" si="326"/>
        <v>16</v>
      </c>
      <c r="Q633" s="226">
        <f ca="1" t="shared" si="320"/>
        <v>2.5</v>
      </c>
      <c r="R633" s="269">
        <f ca="1" t="shared" si="292"/>
        <v>1.02251399211256</v>
      </c>
      <c r="S633" s="266">
        <f ca="1" t="shared" si="293"/>
        <v>96.0599591175665</v>
      </c>
      <c r="T633" s="226">
        <f ca="1">(1+OFFSET('玩法产出(新)'!$C$18,MATCH(X633,'玩法产出(新)'!$B$19:$B$25,0),1)*(1-V633)+OFFSET('玩法产出(新)'!$C$18,1+MATCH(X633,'玩法产出(新)'!$B$19:$B$25,0),1)*(V633))^AA633*(1+OFFSET('玩法产出(新)'!$C$18,MATCH(X633,'玩法产出(新)'!$B$19:$B$25,0),3)*(1-V633)+OFFSET('玩法产出(新)'!$C$18,1+MATCH(X633,'玩法产出(新)'!$B$19:$B$25,0),3)*(V633))^AB633*(1+OFFSET('玩法产出(新)'!$C$18,MATCH(X633,'玩法产出(新)'!$B$19:$B$25,0),4)*(1-V633)+OFFSET('玩法产出(新)'!$C$18,1+MATCH(X633,'玩法产出(新)'!$B$19:$B$25,0),4)*(V633))^AC633*(1+OFFSET('玩法产出(新)'!$C$18,MATCH(X633,'玩法产出(新)'!$B$19:$B$25,0),5)*(1+V633)+OFFSET('玩法产出(新)'!$C$18,1+MATCH(X633,'玩法产出(新)'!$B$19:$B$25,5),1)*(V633))^AD633*(1+OFFSET('玩法产出(新)'!$C$18,MATCH(X633,'玩法产出(新)'!$B$19:$B$25,0),6)*(1+V633)+OFFSET('玩法产出(新)'!$C$18,1+MATCH(X633,'玩法产出(新)'!$B$19:$B$25,0),6)*(V633))^AE633</f>
        <v>664.667560305475</v>
      </c>
      <c r="U633" s="226">
        <f ca="1" t="shared" si="312"/>
        <v>0.181047168816464</v>
      </c>
      <c r="V633" s="226">
        <f ca="1">COUNTIF($X$124:$X633,X633)/(COUNTIF($X$124:$X$723,X633)+1)</f>
        <v>0.812371134020619</v>
      </c>
      <c r="W633" s="19">
        <v>30</v>
      </c>
      <c r="X633" s="19" t="s">
        <v>326</v>
      </c>
      <c r="Y633" s="19">
        <f t="shared" si="318"/>
        <v>52160</v>
      </c>
      <c r="Z633" s="19">
        <f ca="1" t="shared" si="294"/>
        <v>0</v>
      </c>
      <c r="AA633" s="282">
        <f ca="1" t="shared" si="295"/>
        <v>0</v>
      </c>
      <c r="AB633" s="282">
        <f ca="1" t="shared" si="296"/>
        <v>18</v>
      </c>
      <c r="AC633" s="282">
        <f ca="1" t="shared" si="297"/>
        <v>10.764</v>
      </c>
      <c r="AD633" s="282">
        <f ca="1" t="shared" si="298"/>
        <v>2.691</v>
      </c>
      <c r="AE633" s="282">
        <f ca="1" t="shared" si="299"/>
        <v>0.67275</v>
      </c>
      <c r="AF633" s="19" t="str">
        <f t="shared" si="300"/>
        <v>彩5</v>
      </c>
      <c r="AG633" s="19">
        <f>IFERROR(_xlfn.XLOOKUP(C633+1,[2]基因升级!$E$141:$E$500,[2]基因升级!$D$141:$D$500)-1,AG632)</f>
        <v>117</v>
      </c>
      <c r="AH633" s="19">
        <v>8</v>
      </c>
      <c r="AI633" s="19">
        <f t="shared" si="301"/>
        <v>10.5142500606751</v>
      </c>
      <c r="AJ633" s="19">
        <f t="shared" si="313"/>
        <v>0</v>
      </c>
      <c r="AK633" s="269">
        <v>2.0368</v>
      </c>
      <c r="AL633" s="287">
        <f t="shared" si="322"/>
        <v>22.0399999999997</v>
      </c>
      <c r="AM633" s="287">
        <f t="shared" si="323"/>
        <v>18.4399999999998</v>
      </c>
      <c r="AN633" s="287">
        <f t="shared" si="325"/>
        <v>14.8399999999999</v>
      </c>
      <c r="AO633" s="287">
        <f t="shared" si="319"/>
        <v>11.2399999999999</v>
      </c>
      <c r="AP633" s="287">
        <f t="shared" si="324"/>
        <v>7.64</v>
      </c>
      <c r="AQ633" s="19">
        <f t="shared" si="302"/>
        <v>4.44240818032107</v>
      </c>
      <c r="AR633" s="19">
        <f t="shared" si="303"/>
        <v>3.48206489293645</v>
      </c>
      <c r="AS633" s="19">
        <f t="shared" si="304"/>
        <v>2.72932504769164</v>
      </c>
      <c r="AT633" s="19">
        <f t="shared" si="305"/>
        <v>2.13930970415517</v>
      </c>
      <c r="AU633" s="19">
        <f t="shared" si="306"/>
        <v>1.6768416844169</v>
      </c>
      <c r="AV633" s="232">
        <f t="shared" si="327"/>
        <v>0.0399999999999991</v>
      </c>
      <c r="AW633" s="232">
        <f t="shared" si="328"/>
        <v>0.0399999999999991</v>
      </c>
      <c r="AX633" s="232">
        <f t="shared" si="329"/>
        <v>0.0399999999999991</v>
      </c>
      <c r="AY633" s="232">
        <f t="shared" si="330"/>
        <v>0.0399999999999991</v>
      </c>
      <c r="AZ633" s="232">
        <f t="shared" si="331"/>
        <v>0.04</v>
      </c>
    </row>
    <row r="634" spans="1:52">
      <c r="A634" s="269"/>
      <c r="C634" s="19">
        <v>511</v>
      </c>
      <c r="D634" s="86">
        <f ca="1" t="shared" si="314"/>
        <v>293.155482371895</v>
      </c>
      <c r="E634" s="251">
        <f ca="1" t="shared" si="291"/>
        <v>0.347956228921663</v>
      </c>
      <c r="F634" s="269">
        <f ca="1" t="shared" si="307"/>
        <v>553.002735563168</v>
      </c>
      <c r="G634" s="283">
        <f ca="1" t="shared" si="308"/>
        <v>192.420746449924</v>
      </c>
      <c r="H634" s="279">
        <f ca="1" t="shared" si="309"/>
        <v>0.166762898791603</v>
      </c>
      <c r="I634" s="269">
        <f ca="1">SUM($J$125:J634)/SUM($H$125:H634)</f>
        <v>0.461355989967184</v>
      </c>
      <c r="J634" s="284">
        <f t="shared" si="315"/>
        <v>0.0489927418505971</v>
      </c>
      <c r="K634" s="19">
        <f t="shared" si="317"/>
        <v>52000</v>
      </c>
      <c r="L634" s="269">
        <f t="shared" si="310"/>
        <v>3.59999999999995</v>
      </c>
      <c r="M634" s="226">
        <f ca="1" t="shared" si="311"/>
        <v>1064.448</v>
      </c>
      <c r="N634" s="280">
        <f ca="1" t="shared" si="316"/>
        <v>0.117770156941006</v>
      </c>
      <c r="O634" s="226">
        <f t="shared" si="321"/>
        <v>422.4</v>
      </c>
      <c r="P634" s="19">
        <f ca="1" t="shared" si="326"/>
        <v>16.2</v>
      </c>
      <c r="Q634" s="226">
        <f ca="1" t="shared" si="320"/>
        <v>2.52</v>
      </c>
      <c r="R634" s="269">
        <f ca="1" t="shared" si="292"/>
        <v>1.02444271160232</v>
      </c>
      <c r="S634" s="266">
        <f ca="1" t="shared" si="293"/>
        <v>96.2411524476965</v>
      </c>
      <c r="T634" s="226">
        <f ca="1">(1+OFFSET('玩法产出(新)'!$C$18,MATCH(X634,'玩法产出(新)'!$B$19:$B$25,0),1)*(1-V634)+OFFSET('玩法产出(新)'!$C$18,1+MATCH(X634,'玩法产出(新)'!$B$19:$B$25,0),1)*(V634))^AA634*(1+OFFSET('玩法产出(新)'!$C$18,MATCH(X634,'玩法产出(新)'!$B$19:$B$25,0),3)*(1-V634)+OFFSET('玩法产出(新)'!$C$18,1+MATCH(X634,'玩法产出(新)'!$B$19:$B$25,0),3)*(V634))^AB634*(1+OFFSET('玩法产出(新)'!$C$18,MATCH(X634,'玩法产出(新)'!$B$19:$B$25,0),4)*(1-V634)+OFFSET('玩法产出(新)'!$C$18,1+MATCH(X634,'玩法产出(新)'!$B$19:$B$25,0),4)*(V634))^AC634*(1+OFFSET('玩法产出(新)'!$C$18,MATCH(X634,'玩法产出(新)'!$B$19:$B$25,0),5)*(1+V634)+OFFSET('玩法产出(新)'!$C$18,1+MATCH(X634,'玩法产出(新)'!$B$19:$B$25,5),1)*(V634))^AD634*(1+OFFSET('玩法产出(新)'!$C$18,MATCH(X634,'玩法产出(新)'!$B$19:$B$25,0),6)*(1+V634)+OFFSET('玩法产出(新)'!$C$18,1+MATCH(X634,'玩法产出(新)'!$B$19:$B$25,0),6)*(V634))^AE634</f>
        <v>672.866067840414</v>
      </c>
      <c r="U634" s="226">
        <f ca="1" t="shared" si="312"/>
        <v>0.18119333013006</v>
      </c>
      <c r="V634" s="226">
        <f ca="1">COUNTIF($X$124:$X634,X634)/(COUNTIF($X$124:$X$723,X634)+1)</f>
        <v>0.814432989690722</v>
      </c>
      <c r="W634" s="19">
        <v>30</v>
      </c>
      <c r="X634" s="19" t="s">
        <v>326</v>
      </c>
      <c r="Y634" s="19">
        <f t="shared" si="318"/>
        <v>52260</v>
      </c>
      <c r="Z634" s="19">
        <f ca="1" t="shared" si="294"/>
        <v>0</v>
      </c>
      <c r="AA634" s="282">
        <f ca="1" t="shared" si="295"/>
        <v>0</v>
      </c>
      <c r="AB634" s="282">
        <f ca="1" t="shared" si="296"/>
        <v>18</v>
      </c>
      <c r="AC634" s="282">
        <f ca="1" t="shared" si="297"/>
        <v>10.78485</v>
      </c>
      <c r="AD634" s="282">
        <f ca="1" t="shared" si="298"/>
        <v>2.6962125</v>
      </c>
      <c r="AE634" s="282">
        <f ca="1" t="shared" si="299"/>
        <v>0.674053125</v>
      </c>
      <c r="AF634" s="19" t="str">
        <f t="shared" si="300"/>
        <v>彩5</v>
      </c>
      <c r="AG634" s="19">
        <f>IFERROR(_xlfn.XLOOKUP(C634+1,[2]基因升级!$E$141:$E$500,[2]基因升级!$D$141:$D$500)-1,AG633)</f>
        <v>117</v>
      </c>
      <c r="AH634" s="19">
        <v>8</v>
      </c>
      <c r="AI634" s="19">
        <f t="shared" si="301"/>
        <v>10.5142500606751</v>
      </c>
      <c r="AJ634" s="19">
        <f t="shared" si="313"/>
        <v>0</v>
      </c>
      <c r="AK634" s="269">
        <v>2.0368</v>
      </c>
      <c r="AL634" s="287">
        <f t="shared" si="322"/>
        <v>22.0799999999997</v>
      </c>
      <c r="AM634" s="287">
        <f t="shared" si="323"/>
        <v>18.4799999999998</v>
      </c>
      <c r="AN634" s="287">
        <f t="shared" si="325"/>
        <v>14.8799999999999</v>
      </c>
      <c r="AO634" s="287">
        <f t="shared" si="319"/>
        <v>11.2799999999999</v>
      </c>
      <c r="AP634" s="287">
        <f t="shared" si="324"/>
        <v>7.68</v>
      </c>
      <c r="AQ634" s="19">
        <f t="shared" si="302"/>
        <v>4.45444715712895</v>
      </c>
      <c r="AR634" s="19">
        <f t="shared" si="303"/>
        <v>3.49150132848853</v>
      </c>
      <c r="AS634" s="19">
        <f t="shared" si="304"/>
        <v>2.73672154968259</v>
      </c>
      <c r="AT634" s="19">
        <f t="shared" si="305"/>
        <v>2.14510725783952</v>
      </c>
      <c r="AU634" s="19">
        <f t="shared" si="306"/>
        <v>1.68138594449606</v>
      </c>
      <c r="AV634" s="232">
        <f t="shared" si="327"/>
        <v>0.0399999999999991</v>
      </c>
      <c r="AW634" s="232">
        <f t="shared" si="328"/>
        <v>0.0399999999999991</v>
      </c>
      <c r="AX634" s="232">
        <f t="shared" si="329"/>
        <v>0.0399999999999991</v>
      </c>
      <c r="AY634" s="232">
        <f t="shared" si="330"/>
        <v>0.0399999999999991</v>
      </c>
      <c r="AZ634" s="232">
        <f t="shared" si="331"/>
        <v>0.04</v>
      </c>
    </row>
    <row r="635" spans="1:52">
      <c r="A635" s="269"/>
      <c r="C635" s="19">
        <v>512</v>
      </c>
      <c r="D635" s="86">
        <f ca="1" t="shared" si="314"/>
        <v>293.50257052545</v>
      </c>
      <c r="E635" s="251">
        <f ca="1" t="shared" si="291"/>
        <v>0.347088153554666</v>
      </c>
      <c r="F635" s="269">
        <f ca="1" t="shared" si="307"/>
        <v>554.863348708732</v>
      </c>
      <c r="G635" s="283">
        <f ca="1" t="shared" si="308"/>
        <v>192.586495178472</v>
      </c>
      <c r="H635" s="279">
        <f ca="1" t="shared" si="309"/>
        <v>0.165748728548664</v>
      </c>
      <c r="I635" s="269">
        <f ca="1">SUM($J$125:J635)/SUM($H$125:H635)</f>
        <v>0.461205050008604</v>
      </c>
      <c r="J635" s="284">
        <f t="shared" si="315"/>
        <v>0.0489095707258116</v>
      </c>
      <c r="K635" s="19">
        <f t="shared" si="317"/>
        <v>52100</v>
      </c>
      <c r="L635" s="269">
        <f t="shared" si="310"/>
        <v>3.60499999999995</v>
      </c>
      <c r="M635" s="226">
        <f ca="1" t="shared" si="311"/>
        <v>1072.896</v>
      </c>
      <c r="N635" s="280">
        <f ca="1" t="shared" si="316"/>
        <v>0.116839157822852</v>
      </c>
      <c r="O635" s="226">
        <f t="shared" si="321"/>
        <v>422.4</v>
      </c>
      <c r="P635" s="19">
        <f ca="1" t="shared" si="326"/>
        <v>16.4</v>
      </c>
      <c r="Q635" s="226">
        <f ca="1" t="shared" si="320"/>
        <v>2.54</v>
      </c>
      <c r="R635" s="269">
        <f ca="1" t="shared" si="292"/>
        <v>1.0263729862047</v>
      </c>
      <c r="S635" s="266">
        <f ca="1" t="shared" si="293"/>
        <v>96.4224918727026</v>
      </c>
      <c r="T635" s="226">
        <f ca="1">(1+OFFSET('玩法产出(新)'!$C$18,MATCH(X635,'玩法产出(新)'!$B$19:$B$25,0),1)*(1-V635)+OFFSET('玩法产出(新)'!$C$18,1+MATCH(X635,'玩法产出(新)'!$B$19:$B$25,0),1)*(V635))^AA635*(1+OFFSET('玩法产出(新)'!$C$18,MATCH(X635,'玩法产出(新)'!$B$19:$B$25,0),3)*(1-V635)+OFFSET('玩法产出(新)'!$C$18,1+MATCH(X635,'玩法产出(新)'!$B$19:$B$25,0),3)*(V635))^AB635*(1+OFFSET('玩法产出(新)'!$C$18,MATCH(X635,'玩法产出(新)'!$B$19:$B$25,0),4)*(1-V635)+OFFSET('玩法产出(新)'!$C$18,1+MATCH(X635,'玩法产出(新)'!$B$19:$B$25,0),4)*(V635))^AC635*(1+OFFSET('玩法产出(新)'!$C$18,MATCH(X635,'玩法产出(新)'!$B$19:$B$25,0),5)*(1+V635)+OFFSET('玩法产出(新)'!$C$18,1+MATCH(X635,'玩法产出(新)'!$B$19:$B$25,5),1)*(V635))^AD635*(1+OFFSET('玩法产出(新)'!$C$18,MATCH(X635,'玩法产出(新)'!$B$19:$B$25,0),6)*(1+V635)+OFFSET('玩法产出(新)'!$C$18,1+MATCH(X635,'玩法产出(新)'!$B$19:$B$25,0),6)*(V635))^AE635</f>
        <v>681.17243497951</v>
      </c>
      <c r="U635" s="226">
        <f ca="1" t="shared" si="312"/>
        <v>0.181339425006002</v>
      </c>
      <c r="V635" s="226">
        <f ca="1">COUNTIF($X$124:$X635,X635)/(COUNTIF($X$124:$X$723,X635)+1)</f>
        <v>0.816494845360825</v>
      </c>
      <c r="W635" s="19">
        <v>30</v>
      </c>
      <c r="X635" s="19" t="s">
        <v>326</v>
      </c>
      <c r="Y635" s="19">
        <f t="shared" si="318"/>
        <v>52360</v>
      </c>
      <c r="Z635" s="19">
        <f ca="1" t="shared" si="294"/>
        <v>0</v>
      </c>
      <c r="AA635" s="282">
        <f ca="1" t="shared" si="295"/>
        <v>0</v>
      </c>
      <c r="AB635" s="282">
        <f ca="1" t="shared" si="296"/>
        <v>18</v>
      </c>
      <c r="AC635" s="282">
        <f ca="1" t="shared" si="297"/>
        <v>10.8057</v>
      </c>
      <c r="AD635" s="282">
        <f ca="1" t="shared" si="298"/>
        <v>2.701425</v>
      </c>
      <c r="AE635" s="282">
        <f ca="1" t="shared" si="299"/>
        <v>0.67535625</v>
      </c>
      <c r="AF635" s="19" t="str">
        <f t="shared" si="300"/>
        <v>彩5</v>
      </c>
      <c r="AG635" s="19">
        <f>IFERROR(_xlfn.XLOOKUP(C635+1,[2]基因升级!$E$141:$E$500,[2]基因升级!$D$141:$D$500)-1,AG634)</f>
        <v>117</v>
      </c>
      <c r="AH635" s="19">
        <v>8</v>
      </c>
      <c r="AI635" s="19">
        <f t="shared" si="301"/>
        <v>10.5142500606751</v>
      </c>
      <c r="AJ635" s="19">
        <f t="shared" si="313"/>
        <v>0</v>
      </c>
      <c r="AK635" s="269">
        <v>2.0368</v>
      </c>
      <c r="AL635" s="287">
        <f t="shared" si="322"/>
        <v>22.1199999999997</v>
      </c>
      <c r="AM635" s="287">
        <f t="shared" si="323"/>
        <v>18.5199999999998</v>
      </c>
      <c r="AN635" s="287">
        <f t="shared" si="325"/>
        <v>14.9199999999999</v>
      </c>
      <c r="AO635" s="287">
        <f t="shared" si="319"/>
        <v>11.3199999999999</v>
      </c>
      <c r="AP635" s="287">
        <f t="shared" si="324"/>
        <v>7.72</v>
      </c>
      <c r="AQ635" s="19">
        <f t="shared" si="302"/>
        <v>4.46651875970122</v>
      </c>
      <c r="AR635" s="19">
        <f t="shared" si="303"/>
        <v>3.50096333688851</v>
      </c>
      <c r="AS635" s="19">
        <f t="shared" si="304"/>
        <v>2.74413809627824</v>
      </c>
      <c r="AT635" s="19">
        <f t="shared" si="305"/>
        <v>2.15092052296044</v>
      </c>
      <c r="AU635" s="19">
        <f t="shared" si="306"/>
        <v>1.68594251957184</v>
      </c>
      <c r="AV635" s="232">
        <f t="shared" si="327"/>
        <v>0.0399999999999991</v>
      </c>
      <c r="AW635" s="232">
        <f t="shared" si="328"/>
        <v>0.0399999999999991</v>
      </c>
      <c r="AX635" s="232">
        <f t="shared" si="329"/>
        <v>0.0399999999999991</v>
      </c>
      <c r="AY635" s="232">
        <f t="shared" si="330"/>
        <v>0.0399999999999991</v>
      </c>
      <c r="AZ635" s="232">
        <f t="shared" si="331"/>
        <v>0.04</v>
      </c>
    </row>
    <row r="636" spans="1:52">
      <c r="A636" s="269"/>
      <c r="C636" s="19">
        <v>513</v>
      </c>
      <c r="D636" s="86">
        <f ca="1" t="shared" si="314"/>
        <v>293.848805430067</v>
      </c>
      <c r="E636" s="251">
        <f ca="1" t="shared" ref="E636:E699" si="332">J636+N636+U636+AJ636</f>
        <v>0.346234904617476</v>
      </c>
      <c r="F636" s="269">
        <f ca="1" t="shared" si="307"/>
        <v>556.706565568614</v>
      </c>
      <c r="G636" s="283">
        <f ca="1" t="shared" si="308"/>
        <v>192.751244629572</v>
      </c>
      <c r="H636" s="279">
        <f ca="1" t="shared" si="309"/>
        <v>0.164749451099198</v>
      </c>
      <c r="I636" s="269">
        <f ca="1">SUM($J$125:J636)/SUM($H$125:H636)</f>
        <v>0.461056451345827</v>
      </c>
      <c r="J636" s="284">
        <f t="shared" si="315"/>
        <v>0.0488266882603625</v>
      </c>
      <c r="K636" s="19">
        <f t="shared" si="317"/>
        <v>52200</v>
      </c>
      <c r="L636" s="269">
        <f t="shared" si="310"/>
        <v>3.60999999999995</v>
      </c>
      <c r="M636" s="226">
        <f ca="1" t="shared" si="311"/>
        <v>1081.344</v>
      </c>
      <c r="N636" s="280">
        <f ca="1" t="shared" si="316"/>
        <v>0.115922762838835</v>
      </c>
      <c r="O636" s="226">
        <f t="shared" si="321"/>
        <v>422.4</v>
      </c>
      <c r="P636" s="19">
        <f ca="1" t="shared" si="326"/>
        <v>16.6</v>
      </c>
      <c r="Q636" s="226">
        <f ca="1" t="shared" si="320"/>
        <v>2.56</v>
      </c>
      <c r="R636" s="269">
        <f ca="1" t="shared" ref="R636:R699" si="333">S636/$E$115</f>
        <v>1.02830481521329</v>
      </c>
      <c r="S636" s="266">
        <f ca="1" t="shared" ref="S636:S699" si="334">LOG(T636,1.07)</f>
        <v>96.6039773262208</v>
      </c>
      <c r="T636" s="226">
        <f ca="1">(1+OFFSET('玩法产出(新)'!$C$18,MATCH(X636,'玩法产出(新)'!$B$19:$B$25,0),1)*(1-V636)+OFFSET('玩法产出(新)'!$C$18,1+MATCH(X636,'玩法产出(新)'!$B$19:$B$25,0),1)*(V636))^AA636*(1+OFFSET('玩法产出(新)'!$C$18,MATCH(X636,'玩法产出(新)'!$B$19:$B$25,0),3)*(1-V636)+OFFSET('玩法产出(新)'!$C$18,1+MATCH(X636,'玩法产出(新)'!$B$19:$B$25,0),3)*(V636))^AB636*(1+OFFSET('玩法产出(新)'!$C$18,MATCH(X636,'玩法产出(新)'!$B$19:$B$25,0),4)*(1-V636)+OFFSET('玩法产出(新)'!$C$18,1+MATCH(X636,'玩法产出(新)'!$B$19:$B$25,0),4)*(V636))^AC636*(1+OFFSET('玩法产出(新)'!$C$18,MATCH(X636,'玩法产出(新)'!$B$19:$B$25,0),5)*(1+V636)+OFFSET('玩法产出(新)'!$C$18,1+MATCH(X636,'玩法产出(新)'!$B$19:$B$25,5),1)*(V636))^AD636*(1+OFFSET('玩法产出(新)'!$C$18,MATCH(X636,'玩法产出(新)'!$B$19:$B$25,0),6)*(1+V636)+OFFSET('玩法产出(新)'!$C$18,1+MATCH(X636,'玩法产出(新)'!$B$19:$B$25,0),6)*(V636))^AE636</f>
        <v>689.588155351223</v>
      </c>
      <c r="U636" s="226">
        <f ca="1" t="shared" si="312"/>
        <v>0.181485453518278</v>
      </c>
      <c r="V636" s="226">
        <f ca="1">COUNTIF($X$124:$X636,X636)/(COUNTIF($X$124:$X$723,X636)+1)</f>
        <v>0.818556701030928</v>
      </c>
      <c r="W636" s="19">
        <v>30</v>
      </c>
      <c r="X636" s="19" t="s">
        <v>326</v>
      </c>
      <c r="Y636" s="19">
        <f t="shared" si="318"/>
        <v>52460</v>
      </c>
      <c r="Z636" s="19">
        <f ca="1" t="shared" ref="Z636:Z699" si="335">(_xlfn.XLOOKUP(X636,$W$110:$W$115,$X$110:$X$115)+V636*_xlfn.XLOOKUP(X636,$W$110:$W$115,$Y$110:$Y$115))*MIN(AA636/2,6)</f>
        <v>0</v>
      </c>
      <c r="AA636" s="282">
        <f ca="1" t="shared" ref="AA636:AA699" si="336">MAX(W636-SUM(AB636:AE636),0)</f>
        <v>0</v>
      </c>
      <c r="AB636" s="282">
        <f ca="1" t="shared" ref="AB636:AB699" si="337">MIN(1+($Y636*$P$116+120*$C636)/OFFSET($G$101,MATCH(AB$123,$AB$123:$AE$123),0),18)</f>
        <v>18</v>
      </c>
      <c r="AC636" s="282">
        <f ca="1" t="shared" ref="AC636:AC699" si="338">MIN(($Y636*$P$116+120*$C636)/OFFSET($G$101,MATCH(AC$123,$AB$123:$AE$123),0),12)</f>
        <v>10.82655</v>
      </c>
      <c r="AD636" s="282">
        <f ca="1" t="shared" ref="AD636:AD699" si="339">IF(MATCH($X636,$L$112:$L$118,0)&gt;=4,($Y636*$P$116+120*$C636)/OFFSET($G$101,MATCH(AD$123,$AB$123:$AE$123),0),0)</f>
        <v>2.7066375</v>
      </c>
      <c r="AE636" s="282">
        <f ca="1" t="shared" ref="AE636:AE699" si="340">IF(MATCH($X636,$L$112:$L$118,0)&gt;=4,($Y636*$P$116+120*$C636)/OFFSET($G$101,MATCH(AE$123,$AB$123:$AE$123),0),0)</f>
        <v>0.676659375</v>
      </c>
      <c r="AF636" s="19" t="str">
        <f t="shared" ref="AF636:AF699" si="341">_xlfn.XLOOKUP(O636,$D$77:$D$95,$F$77:$F$95)</f>
        <v>彩5</v>
      </c>
      <c r="AG636" s="19">
        <f>IFERROR(_xlfn.XLOOKUP(C636+1,[2]基因升级!$E$141:$E$500,[2]基因升级!$D$141:$D$500)-1,AG635)</f>
        <v>117</v>
      </c>
      <c r="AH636" s="19">
        <v>8</v>
      </c>
      <c r="AI636" s="19">
        <f t="shared" ref="AI636:AI699" si="342">LOG(AK636,1.07)</f>
        <v>10.5142500606751</v>
      </c>
      <c r="AJ636" s="19">
        <f t="shared" si="313"/>
        <v>0</v>
      </c>
      <c r="AK636" s="269">
        <v>2.0368</v>
      </c>
      <c r="AL636" s="287">
        <f t="shared" si="322"/>
        <v>22.1599999999997</v>
      </c>
      <c r="AM636" s="287">
        <f t="shared" si="323"/>
        <v>18.5599999999998</v>
      </c>
      <c r="AN636" s="287">
        <f t="shared" si="325"/>
        <v>14.9599999999999</v>
      </c>
      <c r="AO636" s="287">
        <f t="shared" si="319"/>
        <v>11.3599999999999</v>
      </c>
      <c r="AP636" s="287">
        <f t="shared" si="324"/>
        <v>7.76</v>
      </c>
      <c r="AQ636" s="19">
        <f t="shared" ref="AQ636:AQ699" si="343">1.07^AL636</f>
        <v>4.47862307645406</v>
      </c>
      <c r="AR636" s="19">
        <f t="shared" ref="AR636:AR699" si="344">1.07^AM636</f>
        <v>3.51045098743912</v>
      </c>
      <c r="AS636" s="19">
        <f t="shared" ref="AS636:AS699" si="345">1.07^AN636</f>
        <v>2.75157474179971</v>
      </c>
      <c r="AT636" s="19">
        <f t="shared" ref="AT636:AT699" si="346">1.07^AO636</f>
        <v>2.1567495420961</v>
      </c>
      <c r="AU636" s="19">
        <f t="shared" ref="AU636:AU699" si="347">1.07^AP636</f>
        <v>1.69051144301801</v>
      </c>
      <c r="AV636" s="232">
        <f t="shared" si="327"/>
        <v>0.0399999999999991</v>
      </c>
      <c r="AW636" s="232">
        <f t="shared" si="328"/>
        <v>0.0399999999999991</v>
      </c>
      <c r="AX636" s="232">
        <f t="shared" si="329"/>
        <v>0.0399999999999991</v>
      </c>
      <c r="AY636" s="232">
        <f t="shared" si="330"/>
        <v>0.0399999999999991</v>
      </c>
      <c r="AZ636" s="232">
        <f t="shared" si="331"/>
        <v>0.04</v>
      </c>
    </row>
    <row r="637" spans="1:52">
      <c r="A637" s="269"/>
      <c r="C637" s="19">
        <v>514</v>
      </c>
      <c r="D637" s="86">
        <f ca="1" t="shared" si="314"/>
        <v>294.19420156976</v>
      </c>
      <c r="E637" s="251">
        <f ca="1" t="shared" si="332"/>
        <v>0.345396139692968</v>
      </c>
      <c r="F637" s="269">
        <f ca="1" t="shared" ref="F637:F700" si="348">G637/E637</f>
        <v>558.532615694579</v>
      </c>
      <c r="G637" s="283">
        <f ca="1" t="shared" ref="G637:G700" si="349">LOG((K637*O637*L637*Q637)/($K$124*$O$124*$L$124*$Q$124),1.07)+$G$124</f>
        <v>192.915009353524</v>
      </c>
      <c r="H637" s="279">
        <f ca="1" t="shared" ref="H637:H700" si="350">G637-G636</f>
        <v>0.163764723951971</v>
      </c>
      <c r="I637" s="269">
        <f ca="1">SUM($J$125:J637)/SUM($H$125:H637)</f>
        <v>0.46091015012291</v>
      </c>
      <c r="J637" s="284">
        <f t="shared" si="315"/>
        <v>0.0487440929225613</v>
      </c>
      <c r="K637" s="19">
        <f t="shared" si="317"/>
        <v>52300</v>
      </c>
      <c r="L637" s="269">
        <f t="shared" ref="L637:L700" si="351">L636+0.5%</f>
        <v>3.61499999999995</v>
      </c>
      <c r="M637" s="226">
        <f ca="1" t="shared" ref="M637:M700" si="352">O637*Q637</f>
        <v>1089.792</v>
      </c>
      <c r="N637" s="280">
        <f ca="1" t="shared" si="316"/>
        <v>0.11502063102941</v>
      </c>
      <c r="O637" s="226">
        <f t="shared" si="321"/>
        <v>422.4</v>
      </c>
      <c r="P637" s="19">
        <f ca="1" t="shared" si="326"/>
        <v>16.8</v>
      </c>
      <c r="Q637" s="226">
        <f ca="1" t="shared" si="320"/>
        <v>2.58</v>
      </c>
      <c r="R637" s="269">
        <f ca="1" t="shared" si="333"/>
        <v>1.03023819792247</v>
      </c>
      <c r="S637" s="266">
        <f ca="1" t="shared" si="334"/>
        <v>96.7856087419618</v>
      </c>
      <c r="T637" s="226">
        <f ca="1">(1+OFFSET('玩法产出(新)'!$C$18,MATCH(X637,'玩法产出(新)'!$B$19:$B$25,0),1)*(1-V637)+OFFSET('玩法产出(新)'!$C$18,1+MATCH(X637,'玩法产出(新)'!$B$19:$B$25,0),1)*(V637))^AA637*(1+OFFSET('玩法产出(新)'!$C$18,MATCH(X637,'玩法产出(新)'!$B$19:$B$25,0),3)*(1-V637)+OFFSET('玩法产出(新)'!$C$18,1+MATCH(X637,'玩法产出(新)'!$B$19:$B$25,0),3)*(V637))^AB637*(1+OFFSET('玩法产出(新)'!$C$18,MATCH(X637,'玩法产出(新)'!$B$19:$B$25,0),4)*(1-V637)+OFFSET('玩法产出(新)'!$C$18,1+MATCH(X637,'玩法产出(新)'!$B$19:$B$25,0),4)*(V637))^AC637*(1+OFFSET('玩法产出(新)'!$C$18,MATCH(X637,'玩法产出(新)'!$B$19:$B$25,0),5)*(1+V637)+OFFSET('玩法产出(新)'!$C$18,1+MATCH(X637,'玩法产出(新)'!$B$19:$B$25,5),1)*(V637))^AD637*(1+OFFSET('玩法产出(新)'!$C$18,MATCH(X637,'玩法产出(新)'!$B$19:$B$25,0),6)*(1+V637)+OFFSET('玩法产出(新)'!$C$18,1+MATCH(X637,'玩法产出(新)'!$B$19:$B$25,0),6)*(V637))^AE637</f>
        <v>698.114744181437</v>
      </c>
      <c r="U637" s="226">
        <f ca="1" t="shared" ref="U637:U700" si="353">LOG(T637/T636,1.07)</f>
        <v>0.181631415740997</v>
      </c>
      <c r="V637" s="226">
        <f ca="1">COUNTIF($X$124:$X637,X637)/(COUNTIF($X$124:$X$723,X637)+1)</f>
        <v>0.820618556701031</v>
      </c>
      <c r="W637" s="19">
        <v>30</v>
      </c>
      <c r="X637" s="19" t="s">
        <v>326</v>
      </c>
      <c r="Y637" s="19">
        <f t="shared" si="318"/>
        <v>52560</v>
      </c>
      <c r="Z637" s="19">
        <f ca="1" t="shared" si="335"/>
        <v>0</v>
      </c>
      <c r="AA637" s="282">
        <f ca="1" t="shared" si="336"/>
        <v>0</v>
      </c>
      <c r="AB637" s="282">
        <f ca="1" t="shared" si="337"/>
        <v>18</v>
      </c>
      <c r="AC637" s="282">
        <f ca="1" t="shared" si="338"/>
        <v>10.8474</v>
      </c>
      <c r="AD637" s="282">
        <f ca="1" t="shared" si="339"/>
        <v>2.71185</v>
      </c>
      <c r="AE637" s="282">
        <f ca="1" t="shared" si="340"/>
        <v>0.6779625</v>
      </c>
      <c r="AF637" s="19" t="str">
        <f t="shared" si="341"/>
        <v>彩5</v>
      </c>
      <c r="AG637" s="19">
        <f>IFERROR(_xlfn.XLOOKUP(C637+1,[2]基因升级!$E$141:$E$500,[2]基因升级!$D$141:$D$500)-1,AG636)</f>
        <v>117</v>
      </c>
      <c r="AH637" s="19">
        <v>8</v>
      </c>
      <c r="AI637" s="19">
        <f t="shared" si="342"/>
        <v>10.5142500606751</v>
      </c>
      <c r="AJ637" s="19">
        <f t="shared" ref="AJ637:AJ700" si="354">AI637-AI636</f>
        <v>0</v>
      </c>
      <c r="AK637" s="269">
        <v>2.0368</v>
      </c>
      <c r="AL637" s="287">
        <f t="shared" si="322"/>
        <v>22.1999999999997</v>
      </c>
      <c r="AM637" s="287">
        <f t="shared" si="323"/>
        <v>18.5999999999998</v>
      </c>
      <c r="AN637" s="287">
        <f t="shared" si="325"/>
        <v>14.9999999999999</v>
      </c>
      <c r="AO637" s="287">
        <f t="shared" si="319"/>
        <v>11.3999999999999</v>
      </c>
      <c r="AP637" s="287">
        <f t="shared" si="324"/>
        <v>7.8</v>
      </c>
      <c r="AQ637" s="19">
        <f t="shared" si="343"/>
        <v>4.49076019604327</v>
      </c>
      <c r="AR637" s="19">
        <f t="shared" si="344"/>
        <v>3.51996434963087</v>
      </c>
      <c r="AS637" s="19">
        <f t="shared" si="345"/>
        <v>2.75903154071531</v>
      </c>
      <c r="AT637" s="19">
        <f t="shared" si="346"/>
        <v>2.16259435794007</v>
      </c>
      <c r="AU637" s="19">
        <f t="shared" si="347"/>
        <v>1.69509274829881</v>
      </c>
      <c r="AV637" s="232">
        <f t="shared" si="327"/>
        <v>0.0399999999999991</v>
      </c>
      <c r="AW637" s="232">
        <f t="shared" si="328"/>
        <v>0.0399999999999991</v>
      </c>
      <c r="AX637" s="232">
        <f t="shared" si="329"/>
        <v>0.0399999999999991</v>
      </c>
      <c r="AY637" s="232">
        <f t="shared" si="330"/>
        <v>0.0399999999999991</v>
      </c>
      <c r="AZ637" s="232">
        <f t="shared" si="331"/>
        <v>0.04</v>
      </c>
    </row>
    <row r="638" spans="1:52">
      <c r="A638" s="269"/>
      <c r="C638" s="19">
        <v>515</v>
      </c>
      <c r="D638" s="86">
        <f ca="1" t="shared" ref="D638:D701" si="355">D637+E638</f>
        <v>294.538773096667</v>
      </c>
      <c r="E638" s="251">
        <f ca="1" t="shared" si="332"/>
        <v>0.344571526906385</v>
      </c>
      <c r="F638" s="269">
        <f ca="1" t="shared" si="348"/>
        <v>560.341724408177</v>
      </c>
      <c r="G638" s="283">
        <f ca="1" t="shared" si="349"/>
        <v>193.077803568682</v>
      </c>
      <c r="H638" s="279">
        <f ca="1" t="shared" si="350"/>
        <v>0.162794215158527</v>
      </c>
      <c r="I638" s="269">
        <f ca="1">SUM($J$125:J638)/SUM($H$125:H638)</f>
        <v>0.460766103589457</v>
      </c>
      <c r="J638" s="284">
        <f t="shared" ref="J638:J701" si="356">LOG(K638*L638/$K$124/$L$124,1.07)-LOG(K637*L637/$K$124/$L$124,1.07)</f>
        <v>0.0486617831916192</v>
      </c>
      <c r="K638" s="19">
        <f t="shared" si="317"/>
        <v>52400</v>
      </c>
      <c r="L638" s="269">
        <f t="shared" si="351"/>
        <v>3.61999999999995</v>
      </c>
      <c r="M638" s="226">
        <f ca="1" t="shared" si="352"/>
        <v>1098.24</v>
      </c>
      <c r="N638" s="280">
        <f ca="1" t="shared" ref="N638:N701" si="357">LOG(O638*Q638/($O$124*$Q$124),1.07)-LOG(O637*Q637/($O$124*$Q$124),1.07)</f>
        <v>0.114132431966908</v>
      </c>
      <c r="O638" s="226">
        <f t="shared" si="321"/>
        <v>422.4</v>
      </c>
      <c r="P638" s="19">
        <f ca="1" t="shared" si="326"/>
        <v>17</v>
      </c>
      <c r="Q638" s="226">
        <f ca="1" t="shared" si="320"/>
        <v>2.6</v>
      </c>
      <c r="R638" s="269">
        <f ca="1" t="shared" si="333"/>
        <v>1.0321731336274</v>
      </c>
      <c r="S638" s="266">
        <f ca="1" t="shared" si="334"/>
        <v>96.9673860537097</v>
      </c>
      <c r="T638" s="226">
        <f ca="1">(1+OFFSET('玩法产出(新)'!$C$18,MATCH(X638,'玩法产出(新)'!$B$19:$B$25,0),1)*(1-V638)+OFFSET('玩法产出(新)'!$C$18,1+MATCH(X638,'玩法产出(新)'!$B$19:$B$25,0),1)*(V638))^AA638*(1+OFFSET('玩法产出(新)'!$C$18,MATCH(X638,'玩法产出(新)'!$B$19:$B$25,0),3)*(1-V638)+OFFSET('玩法产出(新)'!$C$18,1+MATCH(X638,'玩法产出(新)'!$B$19:$B$25,0),3)*(V638))^AB638*(1+OFFSET('玩法产出(新)'!$C$18,MATCH(X638,'玩法产出(新)'!$B$19:$B$25,0),4)*(1-V638)+OFFSET('玩法产出(新)'!$C$18,1+MATCH(X638,'玩法产出(新)'!$B$19:$B$25,0),4)*(V638))^AC638*(1+OFFSET('玩法产出(新)'!$C$18,MATCH(X638,'玩法产出(新)'!$B$19:$B$25,0),5)*(1+V638)+OFFSET('玩法产出(新)'!$C$18,1+MATCH(X638,'玩法产出(新)'!$B$19:$B$25,5),1)*(V638))^AD638*(1+OFFSET('玩法产出(新)'!$C$18,MATCH(X638,'玩法产出(新)'!$B$19:$B$25,0),6)*(1+V638)+OFFSET('玩法产出(新)'!$C$18,1+MATCH(X638,'玩法产出(新)'!$B$19:$B$25,0),6)*(V638))^AE638</f>
        <v>706.753738617695</v>
      </c>
      <c r="U638" s="226">
        <f ca="1" t="shared" si="353"/>
        <v>0.181777311747857</v>
      </c>
      <c r="V638" s="226">
        <f ca="1">COUNTIF($X$124:$X638,X638)/(COUNTIF($X$124:$X$723,X638)+1)</f>
        <v>0.822680412371134</v>
      </c>
      <c r="W638" s="19">
        <v>30</v>
      </c>
      <c r="X638" s="19" t="s">
        <v>326</v>
      </c>
      <c r="Y638" s="19">
        <f t="shared" si="318"/>
        <v>52660</v>
      </c>
      <c r="Z638" s="19">
        <f ca="1" t="shared" si="335"/>
        <v>0</v>
      </c>
      <c r="AA638" s="282">
        <f ca="1" t="shared" si="336"/>
        <v>0</v>
      </c>
      <c r="AB638" s="282">
        <f ca="1" t="shared" si="337"/>
        <v>18</v>
      </c>
      <c r="AC638" s="282">
        <f ca="1" t="shared" si="338"/>
        <v>10.86825</v>
      </c>
      <c r="AD638" s="282">
        <f ca="1" t="shared" si="339"/>
        <v>2.7170625</v>
      </c>
      <c r="AE638" s="282">
        <f ca="1" t="shared" si="340"/>
        <v>0.679265625</v>
      </c>
      <c r="AF638" s="19" t="str">
        <f t="shared" si="341"/>
        <v>彩5</v>
      </c>
      <c r="AG638" s="19">
        <f>IFERROR(_xlfn.XLOOKUP(C638+1,[2]基因升级!$E$141:$E$500,[2]基因升级!$D$141:$D$500)-1,AG637)</f>
        <v>117</v>
      </c>
      <c r="AH638" s="19">
        <v>8</v>
      </c>
      <c r="AI638" s="19">
        <f t="shared" si="342"/>
        <v>10.5142500606751</v>
      </c>
      <c r="AJ638" s="19">
        <f t="shared" si="354"/>
        <v>0</v>
      </c>
      <c r="AK638" s="269">
        <v>2.0368</v>
      </c>
      <c r="AL638" s="287">
        <f t="shared" si="322"/>
        <v>22.2399999999997</v>
      </c>
      <c r="AM638" s="287">
        <f t="shared" si="323"/>
        <v>18.6399999999998</v>
      </c>
      <c r="AN638" s="287">
        <f t="shared" si="325"/>
        <v>15.0399999999998</v>
      </c>
      <c r="AO638" s="287">
        <f t="shared" si="319"/>
        <v>11.4399999999999</v>
      </c>
      <c r="AP638" s="287">
        <f t="shared" si="324"/>
        <v>7.84</v>
      </c>
      <c r="AQ638" s="19">
        <f t="shared" si="343"/>
        <v>4.50293020736493</v>
      </c>
      <c r="AR638" s="19">
        <f t="shared" si="344"/>
        <v>3.5295034931426</v>
      </c>
      <c r="AS638" s="19">
        <f t="shared" si="345"/>
        <v>2.76650854764097</v>
      </c>
      <c r="AT638" s="19">
        <f t="shared" si="346"/>
        <v>2.16845501330159</v>
      </c>
      <c r="AU638" s="19">
        <f t="shared" si="347"/>
        <v>1.69968646896914</v>
      </c>
      <c r="AV638" s="232">
        <f t="shared" si="327"/>
        <v>0.0399999999999991</v>
      </c>
      <c r="AW638" s="232">
        <f t="shared" si="328"/>
        <v>0.0399999999999991</v>
      </c>
      <c r="AX638" s="232">
        <f t="shared" si="329"/>
        <v>0.0399999999999991</v>
      </c>
      <c r="AY638" s="232">
        <f t="shared" si="330"/>
        <v>0.0399999999999991</v>
      </c>
      <c r="AZ638" s="232">
        <f t="shared" si="331"/>
        <v>0.04</v>
      </c>
    </row>
    <row r="639" spans="1:52">
      <c r="A639" s="269"/>
      <c r="C639" s="19">
        <v>516</v>
      </c>
      <c r="D639" s="86">
        <f ca="1" t="shared" si="355"/>
        <v>294.882533841189</v>
      </c>
      <c r="E639" s="251">
        <f ca="1" t="shared" si="332"/>
        <v>0.343760744522259</v>
      </c>
      <c r="F639" s="269">
        <f ca="1" t="shared" si="348"/>
        <v>562.13411289921</v>
      </c>
      <c r="G639" s="283">
        <f ca="1" t="shared" si="349"/>
        <v>193.239641171592</v>
      </c>
      <c r="H639" s="279">
        <f ca="1" t="shared" si="350"/>
        <v>0.161837602909657</v>
      </c>
      <c r="I639" s="269">
        <f ca="1">SUM($J$125:J639)/SUM($H$125:H639)</f>
        <v>0.460624270064882</v>
      </c>
      <c r="J639" s="284">
        <f t="shared" si="356"/>
        <v>0.0485797575577038</v>
      </c>
      <c r="K639" s="19">
        <f t="shared" si="317"/>
        <v>52500</v>
      </c>
      <c r="L639" s="269">
        <f t="shared" si="351"/>
        <v>3.62499999999995</v>
      </c>
      <c r="M639" s="226">
        <f ca="1" t="shared" si="352"/>
        <v>1106.688</v>
      </c>
      <c r="N639" s="280">
        <f ca="1" t="shared" si="357"/>
        <v>0.113257845351953</v>
      </c>
      <c r="O639" s="226">
        <f t="shared" si="321"/>
        <v>422.4</v>
      </c>
      <c r="P639" s="19">
        <f ca="1" t="shared" si="326"/>
        <v>17.2</v>
      </c>
      <c r="Q639" s="226">
        <f ca="1" t="shared" si="320"/>
        <v>2.62</v>
      </c>
      <c r="R639" s="269">
        <f ca="1" t="shared" si="333"/>
        <v>1.03410962162403</v>
      </c>
      <c r="S639" s="266">
        <f ca="1" t="shared" si="334"/>
        <v>97.1493091953223</v>
      </c>
      <c r="T639" s="226">
        <f ca="1">(1+OFFSET('玩法产出(新)'!$C$18,MATCH(X639,'玩法产出(新)'!$B$19:$B$25,0),1)*(1-V639)+OFFSET('玩法产出(新)'!$C$18,1+MATCH(X639,'玩法产出(新)'!$B$19:$B$25,0),1)*(V639))^AA639*(1+OFFSET('玩法产出(新)'!$C$18,MATCH(X639,'玩法产出(新)'!$B$19:$B$25,0),3)*(1-V639)+OFFSET('玩法产出(新)'!$C$18,1+MATCH(X639,'玩法产出(新)'!$B$19:$B$25,0),3)*(V639))^AB639*(1+OFFSET('玩法产出(新)'!$C$18,MATCH(X639,'玩法产出(新)'!$B$19:$B$25,0),4)*(1-V639)+OFFSET('玩法产出(新)'!$C$18,1+MATCH(X639,'玩法产出(新)'!$B$19:$B$25,0),4)*(V639))^AC639*(1+OFFSET('玩法产出(新)'!$C$18,MATCH(X639,'玩法产出(新)'!$B$19:$B$25,0),5)*(1+V639)+OFFSET('玩法产出(新)'!$C$18,1+MATCH(X639,'玩法产出(新)'!$B$19:$B$25,5),1)*(V639))^AD639*(1+OFFSET('玩法产出(新)'!$C$18,MATCH(X639,'玩法产出(新)'!$B$19:$B$25,0),6)*(1+V639)+OFFSET('玩法产出(新)'!$C$18,1+MATCH(X639,'玩法产出(新)'!$B$19:$B$25,0),6)*(V639))^AE639</f>
        <v>715.506698058498</v>
      </c>
      <c r="U639" s="226">
        <f ca="1" t="shared" si="353"/>
        <v>0.181923141612602</v>
      </c>
      <c r="V639" s="226">
        <f ca="1">COUNTIF($X$124:$X639,X639)/(COUNTIF($X$124:$X$723,X639)+1)</f>
        <v>0.824742268041237</v>
      </c>
      <c r="W639" s="19">
        <v>30</v>
      </c>
      <c r="X639" s="19" t="s">
        <v>326</v>
      </c>
      <c r="Y639" s="19">
        <f t="shared" si="318"/>
        <v>52760</v>
      </c>
      <c r="Z639" s="19">
        <f ca="1" t="shared" si="335"/>
        <v>0</v>
      </c>
      <c r="AA639" s="282">
        <f ca="1" t="shared" si="336"/>
        <v>0</v>
      </c>
      <c r="AB639" s="282">
        <f ca="1" t="shared" si="337"/>
        <v>18</v>
      </c>
      <c r="AC639" s="282">
        <f ca="1" t="shared" si="338"/>
        <v>10.8891</v>
      </c>
      <c r="AD639" s="282">
        <f ca="1" t="shared" si="339"/>
        <v>2.722275</v>
      </c>
      <c r="AE639" s="282">
        <f ca="1" t="shared" si="340"/>
        <v>0.68056875</v>
      </c>
      <c r="AF639" s="19" t="str">
        <f t="shared" si="341"/>
        <v>彩5</v>
      </c>
      <c r="AG639" s="19">
        <f>IFERROR(_xlfn.XLOOKUP(C639+1,[2]基因升级!$E$141:$E$500,[2]基因升级!$D$141:$D$500)-1,AG638)</f>
        <v>117</v>
      </c>
      <c r="AH639" s="19">
        <v>8</v>
      </c>
      <c r="AI639" s="19">
        <f t="shared" si="342"/>
        <v>10.5142500606751</v>
      </c>
      <c r="AJ639" s="19">
        <f t="shared" si="354"/>
        <v>0</v>
      </c>
      <c r="AK639" s="269">
        <v>2.0368</v>
      </c>
      <c r="AL639" s="287">
        <f t="shared" si="322"/>
        <v>22.2799999999997</v>
      </c>
      <c r="AM639" s="287">
        <f t="shared" si="323"/>
        <v>18.6799999999998</v>
      </c>
      <c r="AN639" s="287">
        <f t="shared" si="325"/>
        <v>15.0799999999998</v>
      </c>
      <c r="AO639" s="287">
        <f t="shared" si="319"/>
        <v>11.4799999999999</v>
      </c>
      <c r="AP639" s="287">
        <f t="shared" si="324"/>
        <v>7.88</v>
      </c>
      <c r="AQ639" s="19">
        <f t="shared" si="343"/>
        <v>4.51513319955599</v>
      </c>
      <c r="AR639" s="19">
        <f t="shared" si="344"/>
        <v>3.53906848784198</v>
      </c>
      <c r="AS639" s="19">
        <f t="shared" si="345"/>
        <v>2.77400581734063</v>
      </c>
      <c r="AT639" s="19">
        <f t="shared" si="346"/>
        <v>2.17433155110596</v>
      </c>
      <c r="AU639" s="19">
        <f t="shared" si="347"/>
        <v>1.70429263867485</v>
      </c>
      <c r="AV639" s="232">
        <f t="shared" si="327"/>
        <v>0.0399999999999991</v>
      </c>
      <c r="AW639" s="232">
        <f t="shared" si="328"/>
        <v>0.0399999999999991</v>
      </c>
      <c r="AX639" s="232">
        <f t="shared" si="329"/>
        <v>0.0399999999999991</v>
      </c>
      <c r="AY639" s="232">
        <f t="shared" si="330"/>
        <v>0.0399999999999991</v>
      </c>
      <c r="AZ639" s="232">
        <f t="shared" si="331"/>
        <v>0.04</v>
      </c>
    </row>
    <row r="640" spans="1:52">
      <c r="A640" s="269"/>
      <c r="C640" s="19">
        <v>517</v>
      </c>
      <c r="D640" s="86">
        <f ca="1" t="shared" si="355"/>
        <v>295.225497321748</v>
      </c>
      <c r="E640" s="251">
        <f ca="1" t="shared" si="332"/>
        <v>0.342963480558981</v>
      </c>
      <c r="F640" s="269">
        <f ca="1" t="shared" si="348"/>
        <v>563.90999832264</v>
      </c>
      <c r="G640" s="283">
        <f ca="1" t="shared" si="349"/>
        <v>193.400535746742</v>
      </c>
      <c r="H640" s="279">
        <f ca="1" t="shared" si="350"/>
        <v>0.160894575150138</v>
      </c>
      <c r="I640" s="269">
        <f ca="1">SUM($J$125:J640)/SUM($H$125:H640)</f>
        <v>0.460484608904079</v>
      </c>
      <c r="J640" s="284">
        <f t="shared" si="356"/>
        <v>0.0484980145217975</v>
      </c>
      <c r="K640" s="19">
        <f t="shared" si="317"/>
        <v>52600</v>
      </c>
      <c r="L640" s="269">
        <f t="shared" si="351"/>
        <v>3.62999999999995</v>
      </c>
      <c r="M640" s="226">
        <f ca="1" t="shared" si="352"/>
        <v>1115.136</v>
      </c>
      <c r="N640" s="280">
        <f ca="1" t="shared" si="357"/>
        <v>0.112396560628326</v>
      </c>
      <c r="O640" s="226">
        <f t="shared" si="321"/>
        <v>422.4</v>
      </c>
      <c r="P640" s="19">
        <f ca="1" t="shared" si="326"/>
        <v>17.4</v>
      </c>
      <c r="Q640" s="226">
        <f ca="1" t="shared" si="320"/>
        <v>2.64</v>
      </c>
      <c r="R640" s="269">
        <f ca="1" t="shared" si="333"/>
        <v>1.0360476612091</v>
      </c>
      <c r="S640" s="266">
        <f ca="1" t="shared" si="334"/>
        <v>97.3313781007312</v>
      </c>
      <c r="T640" s="226">
        <f ca="1">(1+OFFSET('玩法产出(新)'!$C$18,MATCH(X640,'玩法产出(新)'!$B$19:$B$25,0),1)*(1-V640)+OFFSET('玩法产出(新)'!$C$18,1+MATCH(X640,'玩法产出(新)'!$B$19:$B$25,0),1)*(V640))^AA640*(1+OFFSET('玩法产出(新)'!$C$18,MATCH(X640,'玩法产出(新)'!$B$19:$B$25,0),3)*(1-V640)+OFFSET('玩法产出(新)'!$C$18,1+MATCH(X640,'玩法产出(新)'!$B$19:$B$25,0),3)*(V640))^AB640*(1+OFFSET('玩法产出(新)'!$C$18,MATCH(X640,'玩法产出(新)'!$B$19:$B$25,0),4)*(1-V640)+OFFSET('玩法产出(新)'!$C$18,1+MATCH(X640,'玩法产出(新)'!$B$19:$B$25,0),4)*(V640))^AC640*(1+OFFSET('玩法产出(新)'!$C$18,MATCH(X640,'玩法产出(新)'!$B$19:$B$25,0),5)*(1+V640)+OFFSET('玩法产出(新)'!$C$18,1+MATCH(X640,'玩法产出(新)'!$B$19:$B$25,5),1)*(V640))^AD640*(1+OFFSET('玩法产出(新)'!$C$18,MATCH(X640,'玩法产出(新)'!$B$19:$B$25,0),6)*(1+V640)+OFFSET('玩法产出(新)'!$C$18,1+MATCH(X640,'玩法产出(新)'!$B$19:$B$25,0),6)*(V640))^AE640</f>
        <v>724.375204487697</v>
      </c>
      <c r="U640" s="226">
        <f ca="1" t="shared" si="353"/>
        <v>0.182068905408858</v>
      </c>
      <c r="V640" s="226">
        <f ca="1">COUNTIF($X$124:$X640,X640)/(COUNTIF($X$124:$X$723,X640)+1)</f>
        <v>0.82680412371134</v>
      </c>
      <c r="W640" s="19">
        <v>30</v>
      </c>
      <c r="X640" s="19" t="s">
        <v>326</v>
      </c>
      <c r="Y640" s="19">
        <f t="shared" si="318"/>
        <v>52860</v>
      </c>
      <c r="Z640" s="19">
        <f ca="1" t="shared" si="335"/>
        <v>0</v>
      </c>
      <c r="AA640" s="282">
        <f ca="1" t="shared" si="336"/>
        <v>0</v>
      </c>
      <c r="AB640" s="282">
        <f ca="1" t="shared" si="337"/>
        <v>18</v>
      </c>
      <c r="AC640" s="282">
        <f ca="1" t="shared" si="338"/>
        <v>10.90995</v>
      </c>
      <c r="AD640" s="282">
        <f ca="1" t="shared" si="339"/>
        <v>2.7274875</v>
      </c>
      <c r="AE640" s="282">
        <f ca="1" t="shared" si="340"/>
        <v>0.681871875</v>
      </c>
      <c r="AF640" s="19" t="str">
        <f t="shared" si="341"/>
        <v>彩5</v>
      </c>
      <c r="AG640" s="19">
        <f>IFERROR(_xlfn.XLOOKUP(C640+1,[2]基因升级!$E$141:$E$500,[2]基因升级!$D$141:$D$500)-1,AG639)</f>
        <v>117</v>
      </c>
      <c r="AH640" s="19">
        <v>8</v>
      </c>
      <c r="AI640" s="19">
        <f t="shared" si="342"/>
        <v>10.5142500606751</v>
      </c>
      <c r="AJ640" s="19">
        <f t="shared" si="354"/>
        <v>0</v>
      </c>
      <c r="AK640" s="269">
        <v>2.0368</v>
      </c>
      <c r="AL640" s="287">
        <f t="shared" si="322"/>
        <v>22.3199999999997</v>
      </c>
      <c r="AM640" s="287">
        <f t="shared" si="323"/>
        <v>18.7199999999998</v>
      </c>
      <c r="AN640" s="287">
        <f t="shared" si="325"/>
        <v>15.1199999999998</v>
      </c>
      <c r="AO640" s="287">
        <f t="shared" si="319"/>
        <v>11.5199999999999</v>
      </c>
      <c r="AP640" s="287">
        <f t="shared" si="324"/>
        <v>7.92</v>
      </c>
      <c r="AQ640" s="19">
        <f t="shared" si="343"/>
        <v>4.52736926199499</v>
      </c>
      <c r="AR640" s="19">
        <f t="shared" si="344"/>
        <v>3.54865940378604</v>
      </c>
      <c r="AS640" s="19">
        <f t="shared" si="345"/>
        <v>2.78152340472664</v>
      </c>
      <c r="AT640" s="19">
        <f t="shared" si="346"/>
        <v>2.18022401439476</v>
      </c>
      <c r="AU640" s="19">
        <f t="shared" si="347"/>
        <v>1.70891129115296</v>
      </c>
      <c r="AV640" s="232">
        <f t="shared" si="327"/>
        <v>0.0399999999999991</v>
      </c>
      <c r="AW640" s="232">
        <f t="shared" si="328"/>
        <v>0.0399999999999991</v>
      </c>
      <c r="AX640" s="232">
        <f t="shared" si="329"/>
        <v>0.0399999999999991</v>
      </c>
      <c r="AY640" s="232">
        <f t="shared" si="330"/>
        <v>0.0399999999999991</v>
      </c>
      <c r="AZ640" s="232">
        <f t="shared" si="331"/>
        <v>0.04</v>
      </c>
    </row>
    <row r="641" spans="1:52">
      <c r="A641" s="269"/>
      <c r="C641" s="19">
        <v>518</v>
      </c>
      <c r="D641" s="86">
        <f ca="1" t="shared" si="355"/>
        <v>295.567676754169</v>
      </c>
      <c r="E641" s="251">
        <f ca="1" t="shared" si="332"/>
        <v>0.342179432420806</v>
      </c>
      <c r="F641" s="269">
        <f ca="1" t="shared" si="348"/>
        <v>565.66959389282</v>
      </c>
      <c r="G641" s="283">
        <f ca="1" t="shared" si="349"/>
        <v>193.560500575953</v>
      </c>
      <c r="H641" s="279">
        <f ca="1" t="shared" si="350"/>
        <v>0.159964829210907</v>
      </c>
      <c r="I641" s="269">
        <f ca="1">SUM($J$125:J641)/SUM($H$125:H641)</f>
        <v>0.460347080464449</v>
      </c>
      <c r="J641" s="284">
        <f t="shared" si="356"/>
        <v>0.0484165525955405</v>
      </c>
      <c r="K641" s="19">
        <f t="shared" si="317"/>
        <v>52700</v>
      </c>
      <c r="L641" s="269">
        <f t="shared" si="351"/>
        <v>3.63499999999994</v>
      </c>
      <c r="M641" s="226">
        <f ca="1" t="shared" si="352"/>
        <v>1123.584</v>
      </c>
      <c r="N641" s="280">
        <f ca="1" t="shared" si="357"/>
        <v>0.111548276615437</v>
      </c>
      <c r="O641" s="226">
        <f t="shared" si="321"/>
        <v>422.4</v>
      </c>
      <c r="P641" s="19">
        <f ca="1" t="shared" si="326"/>
        <v>17.6</v>
      </c>
      <c r="Q641" s="226">
        <f ca="1" t="shared" si="320"/>
        <v>2.66</v>
      </c>
      <c r="R641" s="269">
        <f ca="1" t="shared" si="333"/>
        <v>1.0379872516801</v>
      </c>
      <c r="S641" s="266">
        <f ca="1" t="shared" si="334"/>
        <v>97.513592703941</v>
      </c>
      <c r="T641" s="226">
        <f ca="1">(1+OFFSET('玩法产出(新)'!$C$18,MATCH(X641,'玩法产出(新)'!$B$19:$B$25,0),1)*(1-V641)+OFFSET('玩法产出(新)'!$C$18,1+MATCH(X641,'玩法产出(新)'!$B$19:$B$25,0),1)*(V641))^AA641*(1+OFFSET('玩法产出(新)'!$C$18,MATCH(X641,'玩法产出(新)'!$B$19:$B$25,0),3)*(1-V641)+OFFSET('玩法产出(新)'!$C$18,1+MATCH(X641,'玩法产出(新)'!$B$19:$B$25,0),3)*(V641))^AB641*(1+OFFSET('玩法产出(新)'!$C$18,MATCH(X641,'玩法产出(新)'!$B$19:$B$25,0),4)*(1-V641)+OFFSET('玩法产出(新)'!$C$18,1+MATCH(X641,'玩法产出(新)'!$B$19:$B$25,0),4)*(V641))^AC641*(1+OFFSET('玩法产出(新)'!$C$18,MATCH(X641,'玩法产出(新)'!$B$19:$B$25,0),5)*(1+V641)+OFFSET('玩法产出(新)'!$C$18,1+MATCH(X641,'玩法产出(新)'!$B$19:$B$25,5),1)*(V641))^AD641*(1+OFFSET('玩法产出(新)'!$C$18,MATCH(X641,'玩法产出(新)'!$B$19:$B$25,0),6)*(1+V641)+OFFSET('玩法产出(新)'!$C$18,1+MATCH(X641,'玩法产出(新)'!$B$19:$B$25,0),6)*(V641))^AE641</f>
        <v>733.36086281408</v>
      </c>
      <c r="U641" s="226">
        <f ca="1" t="shared" si="353"/>
        <v>0.182214603209828</v>
      </c>
      <c r="V641" s="226">
        <f ca="1">COUNTIF($X$124:$X641,X641)/(COUNTIF($X$124:$X$723,X641)+1)</f>
        <v>0.828865979381443</v>
      </c>
      <c r="W641" s="19">
        <v>30</v>
      </c>
      <c r="X641" s="19" t="s">
        <v>326</v>
      </c>
      <c r="Y641" s="19">
        <f t="shared" si="318"/>
        <v>52960</v>
      </c>
      <c r="Z641" s="19">
        <f ca="1" t="shared" si="335"/>
        <v>0</v>
      </c>
      <c r="AA641" s="282">
        <f ca="1" t="shared" si="336"/>
        <v>0</v>
      </c>
      <c r="AB641" s="282">
        <f ca="1" t="shared" si="337"/>
        <v>18</v>
      </c>
      <c r="AC641" s="282">
        <f ca="1" t="shared" si="338"/>
        <v>10.9308</v>
      </c>
      <c r="AD641" s="282">
        <f ca="1" t="shared" si="339"/>
        <v>2.7327</v>
      </c>
      <c r="AE641" s="282">
        <f ca="1" t="shared" si="340"/>
        <v>0.683175</v>
      </c>
      <c r="AF641" s="19" t="str">
        <f t="shared" si="341"/>
        <v>彩5</v>
      </c>
      <c r="AG641" s="19">
        <f>IFERROR(_xlfn.XLOOKUP(C641+1,[2]基因升级!$E$141:$E$500,[2]基因升级!$D$141:$D$500)-1,AG640)</f>
        <v>117</v>
      </c>
      <c r="AH641" s="19">
        <v>8</v>
      </c>
      <c r="AI641" s="19">
        <f t="shared" si="342"/>
        <v>10.5142500606751</v>
      </c>
      <c r="AJ641" s="19">
        <f t="shared" si="354"/>
        <v>0</v>
      </c>
      <c r="AK641" s="269">
        <v>2.0368</v>
      </c>
      <c r="AL641" s="287">
        <f t="shared" si="322"/>
        <v>22.3599999999997</v>
      </c>
      <c r="AM641" s="287">
        <f t="shared" si="323"/>
        <v>18.7599999999998</v>
      </c>
      <c r="AN641" s="287">
        <f t="shared" si="325"/>
        <v>15.1599999999998</v>
      </c>
      <c r="AO641" s="287">
        <f t="shared" si="319"/>
        <v>11.5599999999999</v>
      </c>
      <c r="AP641" s="287">
        <f t="shared" si="324"/>
        <v>7.96</v>
      </c>
      <c r="AQ641" s="19">
        <f t="shared" si="343"/>
        <v>4.53963848430269</v>
      </c>
      <c r="AR641" s="19">
        <f t="shared" si="344"/>
        <v>3.55827631122162</v>
      </c>
      <c r="AS641" s="19">
        <f t="shared" si="345"/>
        <v>2.78906136486016</v>
      </c>
      <c r="AT641" s="19">
        <f t="shared" si="346"/>
        <v>2.18613244632624</v>
      </c>
      <c r="AU641" s="19">
        <f t="shared" si="347"/>
        <v>1.71354246023194</v>
      </c>
      <c r="AV641" s="232">
        <f t="shared" si="327"/>
        <v>0.0399999999999991</v>
      </c>
      <c r="AW641" s="232">
        <f t="shared" si="328"/>
        <v>0.0399999999999991</v>
      </c>
      <c r="AX641" s="232">
        <f t="shared" si="329"/>
        <v>0.0399999999999991</v>
      </c>
      <c r="AY641" s="232">
        <f t="shared" si="330"/>
        <v>0.0399999999999991</v>
      </c>
      <c r="AZ641" s="232">
        <f t="shared" si="331"/>
        <v>0.04</v>
      </c>
    </row>
    <row r="642" spans="1:52">
      <c r="A642" s="269"/>
      <c r="C642" s="19">
        <v>519</v>
      </c>
      <c r="D642" s="86">
        <f ca="1" t="shared" si="355"/>
        <v>295.909085060716</v>
      </c>
      <c r="E642" s="251">
        <f ca="1" t="shared" si="332"/>
        <v>0.341408306547092</v>
      </c>
      <c r="F642" s="269">
        <f ca="1" t="shared" si="348"/>
        <v>567.413108973933</v>
      </c>
      <c r="G642" s="283">
        <f ca="1" t="shared" si="349"/>
        <v>193.719548647411</v>
      </c>
      <c r="H642" s="279">
        <f ca="1" t="shared" si="350"/>
        <v>0.159048071458159</v>
      </c>
      <c r="I642" s="269">
        <f ca="1">SUM($J$125:J642)/SUM($H$125:H642)</f>
        <v>0.460211646074199</v>
      </c>
      <c r="J642" s="284">
        <f t="shared" si="356"/>
        <v>0.0483353703012739</v>
      </c>
      <c r="K642" s="19">
        <f t="shared" ref="K642:K705" si="358">K641+100</f>
        <v>52800</v>
      </c>
      <c r="L642" s="269">
        <f t="shared" si="351"/>
        <v>3.63999999999994</v>
      </c>
      <c r="M642" s="226">
        <f ca="1" t="shared" si="352"/>
        <v>1132.032</v>
      </c>
      <c r="N642" s="280">
        <f ca="1" t="shared" si="357"/>
        <v>0.110712701156856</v>
      </c>
      <c r="O642" s="226">
        <f t="shared" si="321"/>
        <v>422.4</v>
      </c>
      <c r="P642" s="19">
        <f ca="1" t="shared" si="326"/>
        <v>17.8</v>
      </c>
      <c r="Q642" s="226">
        <f ca="1" t="shared" si="320"/>
        <v>2.68</v>
      </c>
      <c r="R642" s="269">
        <f ca="1" t="shared" si="333"/>
        <v>1.03992839233533</v>
      </c>
      <c r="S642" s="266">
        <f ca="1" t="shared" si="334"/>
        <v>97.6959529390299</v>
      </c>
      <c r="T642" s="226">
        <f ca="1">(1+OFFSET('玩法产出(新)'!$C$18,MATCH(X642,'玩法产出(新)'!$B$19:$B$25,0),1)*(1-V642)+OFFSET('玩法产出(新)'!$C$18,1+MATCH(X642,'玩法产出(新)'!$B$19:$B$25,0),1)*(V642))^AA642*(1+OFFSET('玩法产出(新)'!$C$18,MATCH(X642,'玩法产出(新)'!$B$19:$B$25,0),3)*(1-V642)+OFFSET('玩法产出(新)'!$C$18,1+MATCH(X642,'玩法产出(新)'!$B$19:$B$25,0),3)*(V642))^AB642*(1+OFFSET('玩法产出(新)'!$C$18,MATCH(X642,'玩法产出(新)'!$B$19:$B$25,0),4)*(1-V642)+OFFSET('玩法产出(新)'!$C$18,1+MATCH(X642,'玩法产出(新)'!$B$19:$B$25,0),4)*(V642))^AC642*(1+OFFSET('玩法产出(新)'!$C$18,MATCH(X642,'玩法产出(新)'!$B$19:$B$25,0),5)*(1+V642)+OFFSET('玩法产出(新)'!$C$18,1+MATCH(X642,'玩法产出(新)'!$B$19:$B$25,5),1)*(V642))^AD642*(1+OFFSET('玩法产出(新)'!$C$18,MATCH(X642,'玩法产出(新)'!$B$19:$B$25,0),6)*(1+V642)+OFFSET('玩法产出(新)'!$C$18,1+MATCH(X642,'玩法产出(新)'!$B$19:$B$25,0),6)*(V642))^AE642</f>
        <v>742.465301216257</v>
      </c>
      <c r="U642" s="226">
        <f ca="1" t="shared" si="353"/>
        <v>0.182360235088962</v>
      </c>
      <c r="V642" s="226">
        <f ca="1">COUNTIF($X$124:$X642,X642)/(COUNTIF($X$124:$X$723,X642)+1)</f>
        <v>0.830927835051546</v>
      </c>
      <c r="W642" s="19">
        <v>30</v>
      </c>
      <c r="X642" s="19" t="s">
        <v>326</v>
      </c>
      <c r="Y642" s="19">
        <f t="shared" si="318"/>
        <v>53060</v>
      </c>
      <c r="Z642" s="19">
        <f ca="1" t="shared" si="335"/>
        <v>0</v>
      </c>
      <c r="AA642" s="282">
        <f ca="1" t="shared" si="336"/>
        <v>0</v>
      </c>
      <c r="AB642" s="282">
        <f ca="1" t="shared" si="337"/>
        <v>18</v>
      </c>
      <c r="AC642" s="282">
        <f ca="1" t="shared" si="338"/>
        <v>10.95165</v>
      </c>
      <c r="AD642" s="282">
        <f ca="1" t="shared" si="339"/>
        <v>2.7379125</v>
      </c>
      <c r="AE642" s="282">
        <f ca="1" t="shared" si="340"/>
        <v>0.684478125</v>
      </c>
      <c r="AF642" s="19" t="str">
        <f t="shared" si="341"/>
        <v>彩5</v>
      </c>
      <c r="AG642" s="19">
        <f>IFERROR(_xlfn.XLOOKUP(C642+1,[2]基因升级!$E$141:$E$500,[2]基因升级!$D$141:$D$500)-1,AG641)</f>
        <v>117</v>
      </c>
      <c r="AH642" s="19">
        <v>8</v>
      </c>
      <c r="AI642" s="19">
        <f t="shared" si="342"/>
        <v>10.5142500606751</v>
      </c>
      <c r="AJ642" s="19">
        <f t="shared" si="354"/>
        <v>0</v>
      </c>
      <c r="AK642" s="269">
        <v>2.0368</v>
      </c>
      <c r="AL642" s="287">
        <f t="shared" si="322"/>
        <v>22.3999999999997</v>
      </c>
      <c r="AM642" s="287">
        <f t="shared" si="323"/>
        <v>18.7999999999998</v>
      </c>
      <c r="AN642" s="287">
        <f t="shared" si="325"/>
        <v>15.1999999999998</v>
      </c>
      <c r="AO642" s="287">
        <f t="shared" si="319"/>
        <v>11.5999999999999</v>
      </c>
      <c r="AP642" s="287">
        <f t="shared" si="324"/>
        <v>8</v>
      </c>
      <c r="AQ642" s="19">
        <f t="shared" si="343"/>
        <v>4.55194095634269</v>
      </c>
      <c r="AR642" s="19">
        <f t="shared" si="344"/>
        <v>3.56791928058599</v>
      </c>
      <c r="AS642" s="19">
        <f t="shared" si="345"/>
        <v>2.79661975295157</v>
      </c>
      <c r="AT642" s="19">
        <f t="shared" si="346"/>
        <v>2.19205689017561</v>
      </c>
      <c r="AU642" s="19">
        <f t="shared" si="347"/>
        <v>1.71818617983192</v>
      </c>
      <c r="AV642" s="232">
        <f t="shared" si="327"/>
        <v>0.0399999999999991</v>
      </c>
      <c r="AW642" s="232">
        <f t="shared" si="328"/>
        <v>0.0399999999999991</v>
      </c>
      <c r="AX642" s="232">
        <f t="shared" si="329"/>
        <v>0.0399999999999991</v>
      </c>
      <c r="AY642" s="232">
        <f t="shared" si="330"/>
        <v>0.0399999999999991</v>
      </c>
      <c r="AZ642" s="232">
        <f t="shared" si="331"/>
        <v>0.04</v>
      </c>
    </row>
    <row r="643" spans="1:52">
      <c r="A643" s="269"/>
      <c r="C643" s="19">
        <v>520</v>
      </c>
      <c r="D643" s="86">
        <f ca="1" t="shared" si="355"/>
        <v>296.249734878792</v>
      </c>
      <c r="E643" s="251">
        <f ca="1" t="shared" si="332"/>
        <v>0.340649818076381</v>
      </c>
      <c r="F643" s="269">
        <f ca="1" t="shared" si="348"/>
        <v>569.140749169272</v>
      </c>
      <c r="G643" s="283">
        <f ca="1" t="shared" si="349"/>
        <v>193.877692664368</v>
      </c>
      <c r="H643" s="279">
        <f ca="1" t="shared" si="350"/>
        <v>0.158144016956953</v>
      </c>
      <c r="I643" s="269">
        <f ca="1">SUM($J$125:J643)/SUM($H$125:H643)</f>
        <v>0.460078268001887</v>
      </c>
      <c r="J643" s="284">
        <f t="shared" si="356"/>
        <v>0.0482544661718123</v>
      </c>
      <c r="K643" s="19">
        <f t="shared" si="358"/>
        <v>52900</v>
      </c>
      <c r="L643" s="269">
        <f t="shared" si="351"/>
        <v>3.64499999999994</v>
      </c>
      <c r="M643" s="226">
        <f ca="1" t="shared" si="352"/>
        <v>1140.48</v>
      </c>
      <c r="N643" s="280">
        <f ca="1" t="shared" si="357"/>
        <v>0.109889550785141</v>
      </c>
      <c r="O643" s="226">
        <f t="shared" si="321"/>
        <v>422.4</v>
      </c>
      <c r="P643" s="19">
        <f ca="1" t="shared" si="326"/>
        <v>18</v>
      </c>
      <c r="Q643" s="226">
        <f ca="1" t="shared" si="320"/>
        <v>2.7</v>
      </c>
      <c r="R643" s="269">
        <f ca="1" t="shared" si="333"/>
        <v>1.04187108247387</v>
      </c>
      <c r="S643" s="266">
        <f ca="1" t="shared" si="334"/>
        <v>97.8784587401494</v>
      </c>
      <c r="T643" s="226">
        <f ca="1">(1+OFFSET('玩法产出(新)'!$C$18,MATCH(X643,'玩法产出(新)'!$B$19:$B$25,0),1)*(1-V643)+OFFSET('玩法产出(新)'!$C$18,1+MATCH(X643,'玩法产出(新)'!$B$19:$B$25,0),1)*(V643))^AA643*(1+OFFSET('玩法产出(新)'!$C$18,MATCH(X643,'玩法产出(新)'!$B$19:$B$25,0),3)*(1-V643)+OFFSET('玩法产出(新)'!$C$18,1+MATCH(X643,'玩法产出(新)'!$B$19:$B$25,0),3)*(V643))^AB643*(1+OFFSET('玩法产出(新)'!$C$18,MATCH(X643,'玩法产出(新)'!$B$19:$B$25,0),4)*(1-V643)+OFFSET('玩法产出(新)'!$C$18,1+MATCH(X643,'玩法产出(新)'!$B$19:$B$25,0),4)*(V643))^AC643*(1+OFFSET('玩法产出(新)'!$C$18,MATCH(X643,'玩法产出(新)'!$B$19:$B$25,0),5)*(1+V643)+OFFSET('玩法产出(新)'!$C$18,1+MATCH(X643,'玩法产出(新)'!$B$19:$B$25,5),1)*(V643))^AD643*(1+OFFSET('玩法产出(新)'!$C$18,MATCH(X643,'玩法产出(新)'!$B$19:$B$25,0),6)*(1+V643)+OFFSET('玩法产出(新)'!$C$18,1+MATCH(X643,'玩法产出(新)'!$B$19:$B$25,0),6)*(V643))^AE643</f>
        <v>751.690171492893</v>
      </c>
      <c r="U643" s="226">
        <f ca="1" t="shared" si="353"/>
        <v>0.182505801119428</v>
      </c>
      <c r="V643" s="226">
        <f ca="1">COUNTIF($X$124:$X643,X643)/(COUNTIF($X$124:$X$723,X643)+1)</f>
        <v>0.83298969072165</v>
      </c>
      <c r="W643" s="19">
        <v>30</v>
      </c>
      <c r="X643" s="19" t="s">
        <v>326</v>
      </c>
      <c r="Y643" s="19">
        <f t="shared" ref="Y643:Y706" si="359">Y642+100</f>
        <v>53160</v>
      </c>
      <c r="Z643" s="19">
        <f ca="1" t="shared" si="335"/>
        <v>0</v>
      </c>
      <c r="AA643" s="282">
        <f ca="1" t="shared" si="336"/>
        <v>0</v>
      </c>
      <c r="AB643" s="282">
        <f ca="1" t="shared" si="337"/>
        <v>18</v>
      </c>
      <c r="AC643" s="282">
        <f ca="1" t="shared" si="338"/>
        <v>10.9725</v>
      </c>
      <c r="AD643" s="282">
        <f ca="1" t="shared" si="339"/>
        <v>2.743125</v>
      </c>
      <c r="AE643" s="282">
        <f ca="1" t="shared" si="340"/>
        <v>0.68578125</v>
      </c>
      <c r="AF643" s="19" t="str">
        <f t="shared" si="341"/>
        <v>彩5</v>
      </c>
      <c r="AG643" s="19">
        <f>IFERROR(_xlfn.XLOOKUP(C643+1,[2]基因升级!$E$141:$E$500,[2]基因升级!$D$141:$D$500)-1,AG642)</f>
        <v>118</v>
      </c>
      <c r="AH643" s="19">
        <v>8</v>
      </c>
      <c r="AI643" s="19">
        <f t="shared" si="342"/>
        <v>10.5142500606751</v>
      </c>
      <c r="AJ643" s="19">
        <f t="shared" si="354"/>
        <v>0</v>
      </c>
      <c r="AK643" s="269">
        <v>2.0368</v>
      </c>
      <c r="AL643" s="287">
        <f t="shared" si="322"/>
        <v>22.4399999999997</v>
      </c>
      <c r="AM643" s="287">
        <f t="shared" si="323"/>
        <v>18.8399999999998</v>
      </c>
      <c r="AN643" s="287">
        <f t="shared" si="325"/>
        <v>15.2399999999998</v>
      </c>
      <c r="AO643" s="287">
        <f t="shared" si="319"/>
        <v>11.6399999999999</v>
      </c>
      <c r="AP643" s="287">
        <f t="shared" si="324"/>
        <v>8.04</v>
      </c>
      <c r="AQ643" s="19">
        <f t="shared" si="343"/>
        <v>4.56427676822216</v>
      </c>
      <c r="AR643" s="19">
        <f t="shared" si="344"/>
        <v>3.57758838250725</v>
      </c>
      <c r="AS643" s="19">
        <f t="shared" si="345"/>
        <v>2.80419862436086</v>
      </c>
      <c r="AT643" s="19">
        <f t="shared" si="346"/>
        <v>2.19799738933534</v>
      </c>
      <c r="AU643" s="19">
        <f t="shared" si="347"/>
        <v>1.72284248396495</v>
      </c>
      <c r="AV643" s="232">
        <f t="shared" si="327"/>
        <v>0.0399999999999991</v>
      </c>
      <c r="AW643" s="232">
        <f t="shared" si="328"/>
        <v>0.0399999999999991</v>
      </c>
      <c r="AX643" s="232">
        <f t="shared" si="329"/>
        <v>0.0399999999999991</v>
      </c>
      <c r="AY643" s="232">
        <f t="shared" si="330"/>
        <v>0.0399999999999991</v>
      </c>
      <c r="AZ643" s="232">
        <f t="shared" si="331"/>
        <v>0.04</v>
      </c>
    </row>
    <row r="644" spans="1:52">
      <c r="A644" s="269"/>
      <c r="C644" s="19">
        <v>521</v>
      </c>
      <c r="D644" s="86">
        <f ca="1" t="shared" si="355"/>
        <v>296.589638569318</v>
      </c>
      <c r="E644" s="251">
        <f ca="1" t="shared" si="332"/>
        <v>0.33990369052572</v>
      </c>
      <c r="F644" s="269">
        <f ca="1" t="shared" si="348"/>
        <v>570.852716407436</v>
      </c>
      <c r="G644" s="283">
        <f ca="1" t="shared" si="349"/>
        <v>194.034945053519</v>
      </c>
      <c r="H644" s="279">
        <f ca="1" t="shared" si="350"/>
        <v>0.157252389151495</v>
      </c>
      <c r="I644" s="269">
        <f ca="1">SUM($J$125:J644)/SUM($H$125:H644)</f>
        <v>0.45994690942712</v>
      </c>
      <c r="J644" s="284">
        <f t="shared" si="356"/>
        <v>0.0481738387503867</v>
      </c>
      <c r="K644" s="19">
        <f t="shared" si="358"/>
        <v>53000</v>
      </c>
      <c r="L644" s="269">
        <f t="shared" si="351"/>
        <v>3.64999999999994</v>
      </c>
      <c r="M644" s="226">
        <f ca="1" t="shared" si="352"/>
        <v>1148.928</v>
      </c>
      <c r="N644" s="280">
        <f ca="1" t="shared" si="357"/>
        <v>0.109078550401122</v>
      </c>
      <c r="O644" s="226">
        <f t="shared" si="321"/>
        <v>422.4</v>
      </c>
      <c r="P644" s="19">
        <f ca="1" t="shared" si="326"/>
        <v>18.2</v>
      </c>
      <c r="Q644" s="226">
        <f ca="1" t="shared" si="320"/>
        <v>2.72</v>
      </c>
      <c r="R644" s="269">
        <f ca="1" t="shared" si="333"/>
        <v>1.04381532139557</v>
      </c>
      <c r="S644" s="266">
        <f ca="1" t="shared" si="334"/>
        <v>98.0611100415236</v>
      </c>
      <c r="T644" s="226">
        <f ca="1">(1+OFFSET('玩法产出(新)'!$C$18,MATCH(X644,'玩法产出(新)'!$B$19:$B$25,0),1)*(1-V644)+OFFSET('玩法产出(新)'!$C$18,1+MATCH(X644,'玩法产出(新)'!$B$19:$B$25,0),1)*(V644))^AA644*(1+OFFSET('玩法产出(新)'!$C$18,MATCH(X644,'玩法产出(新)'!$B$19:$B$25,0),3)*(1-V644)+OFFSET('玩法产出(新)'!$C$18,1+MATCH(X644,'玩法产出(新)'!$B$19:$B$25,0),3)*(V644))^AB644*(1+OFFSET('玩法产出(新)'!$C$18,MATCH(X644,'玩法产出(新)'!$B$19:$B$25,0),4)*(1-V644)+OFFSET('玩法产出(新)'!$C$18,1+MATCH(X644,'玩法产出(新)'!$B$19:$B$25,0),4)*(V644))^AC644*(1+OFFSET('玩法产出(新)'!$C$18,MATCH(X644,'玩法产出(新)'!$B$19:$B$25,0),5)*(1+V644)+OFFSET('玩法产出(新)'!$C$18,1+MATCH(X644,'玩法产出(新)'!$B$19:$B$25,5),1)*(V644))^AD644*(1+OFFSET('玩法产出(新)'!$C$18,MATCH(X644,'玩法产出(新)'!$B$19:$B$25,0),6)*(1+V644)+OFFSET('玩法产出(新)'!$C$18,1+MATCH(X644,'玩法产出(新)'!$B$19:$B$25,0),6)*(V644))^AE644</f>
        <v>761.037149418388</v>
      </c>
      <c r="U644" s="226">
        <f ca="1" t="shared" si="353"/>
        <v>0.182651301374211</v>
      </c>
      <c r="V644" s="226">
        <f ca="1">COUNTIF($X$124:$X644,X644)/(COUNTIF($X$124:$X$723,X644)+1)</f>
        <v>0.835051546391753</v>
      </c>
      <c r="W644" s="19">
        <v>30</v>
      </c>
      <c r="X644" s="19" t="s">
        <v>326</v>
      </c>
      <c r="Y644" s="19">
        <f t="shared" si="359"/>
        <v>53260</v>
      </c>
      <c r="Z644" s="19">
        <f ca="1" t="shared" si="335"/>
        <v>0</v>
      </c>
      <c r="AA644" s="282">
        <f ca="1" t="shared" si="336"/>
        <v>0</v>
      </c>
      <c r="AB644" s="282">
        <f ca="1" t="shared" si="337"/>
        <v>18</v>
      </c>
      <c r="AC644" s="282">
        <f ca="1" t="shared" si="338"/>
        <v>10.99335</v>
      </c>
      <c r="AD644" s="282">
        <f ca="1" t="shared" si="339"/>
        <v>2.7483375</v>
      </c>
      <c r="AE644" s="282">
        <f ca="1" t="shared" si="340"/>
        <v>0.687084375</v>
      </c>
      <c r="AF644" s="19" t="str">
        <f t="shared" si="341"/>
        <v>彩5</v>
      </c>
      <c r="AG644" s="19">
        <f>IFERROR(_xlfn.XLOOKUP(C644+1,[2]基因升级!$E$141:$E$500,[2]基因升级!$D$141:$D$500)-1,AG643)</f>
        <v>118</v>
      </c>
      <c r="AH644" s="19">
        <v>8</v>
      </c>
      <c r="AI644" s="19">
        <f t="shared" si="342"/>
        <v>10.5142500606751</v>
      </c>
      <c r="AJ644" s="19">
        <f t="shared" si="354"/>
        <v>0</v>
      </c>
      <c r="AK644" s="269">
        <v>2.0368</v>
      </c>
      <c r="AL644" s="287">
        <f t="shared" si="322"/>
        <v>22.4799999999997</v>
      </c>
      <c r="AM644" s="287">
        <f t="shared" si="323"/>
        <v>18.8799999999998</v>
      </c>
      <c r="AN644" s="287">
        <f t="shared" si="325"/>
        <v>15.2799999999998</v>
      </c>
      <c r="AO644" s="287">
        <f t="shared" si="319"/>
        <v>11.6799999999999</v>
      </c>
      <c r="AP644" s="287">
        <f t="shared" si="324"/>
        <v>8.08</v>
      </c>
      <c r="AQ644" s="19">
        <f t="shared" si="343"/>
        <v>4.57664601029243</v>
      </c>
      <c r="AR644" s="19">
        <f t="shared" si="344"/>
        <v>3.58728368780493</v>
      </c>
      <c r="AS644" s="19">
        <f t="shared" si="345"/>
        <v>2.81179803459807</v>
      </c>
      <c r="AT644" s="19">
        <f t="shared" si="346"/>
        <v>2.20395398731551</v>
      </c>
      <c r="AU644" s="19">
        <f t="shared" si="347"/>
        <v>1.72751140673525</v>
      </c>
      <c r="AV644" s="232">
        <f t="shared" si="327"/>
        <v>0.0399999999999991</v>
      </c>
      <c r="AW644" s="232">
        <f t="shared" si="328"/>
        <v>0.0399999999999991</v>
      </c>
      <c r="AX644" s="232">
        <f t="shared" si="329"/>
        <v>0.0399999999999991</v>
      </c>
      <c r="AY644" s="232">
        <f t="shared" si="330"/>
        <v>0.0399999999999991</v>
      </c>
      <c r="AZ644" s="232">
        <f t="shared" si="331"/>
        <v>0.0399999999999991</v>
      </c>
    </row>
    <row r="645" spans="1:52">
      <c r="A645" s="269"/>
      <c r="C645" s="19">
        <v>522</v>
      </c>
      <c r="D645" s="86">
        <f ca="1" t="shared" si="355"/>
        <v>296.928808224802</v>
      </c>
      <c r="E645" s="251">
        <f ca="1" t="shared" si="332"/>
        <v>0.339169655484043</v>
      </c>
      <c r="F645" s="269">
        <f ca="1" t="shared" si="348"/>
        <v>572.549209026199</v>
      </c>
      <c r="G645" s="283">
        <f ca="1" t="shared" si="349"/>
        <v>194.191317973077</v>
      </c>
      <c r="H645" s="279">
        <f ca="1" t="shared" si="350"/>
        <v>0.156372919557811</v>
      </c>
      <c r="I645" s="269">
        <f ca="1">SUM($J$125:J645)/SUM($H$125:H645)</f>
        <v>0.459817534412378</v>
      </c>
      <c r="J645" s="284">
        <f t="shared" si="356"/>
        <v>0.0480934865906022</v>
      </c>
      <c r="K645" s="19">
        <f t="shared" si="358"/>
        <v>53100</v>
      </c>
      <c r="L645" s="269">
        <f t="shared" si="351"/>
        <v>3.65499999999994</v>
      </c>
      <c r="M645" s="226">
        <f ca="1" t="shared" si="352"/>
        <v>1157.376</v>
      </c>
      <c r="N645" s="280">
        <f ca="1" t="shared" si="357"/>
        <v>0.108279432967208</v>
      </c>
      <c r="O645" s="226">
        <f t="shared" si="321"/>
        <v>422.4</v>
      </c>
      <c r="P645" s="19">
        <f ca="1" t="shared" si="326"/>
        <v>18.4</v>
      </c>
      <c r="Q645" s="226">
        <f ca="1" t="shared" si="320"/>
        <v>2.74</v>
      </c>
      <c r="R645" s="269">
        <f ca="1" t="shared" si="333"/>
        <v>1.04576110840104</v>
      </c>
      <c r="S645" s="266">
        <f ca="1" t="shared" si="334"/>
        <v>98.2439067774498</v>
      </c>
      <c r="T645" s="226">
        <f ca="1">(1+OFFSET('玩法产出(新)'!$C$18,MATCH(X645,'玩法产出(新)'!$B$19:$B$25,0),1)*(1-V645)+OFFSET('玩法产出(新)'!$C$18,1+MATCH(X645,'玩法产出(新)'!$B$19:$B$25,0),1)*(V645))^AA645*(1+OFFSET('玩法产出(新)'!$C$18,MATCH(X645,'玩法产出(新)'!$B$19:$B$25,0),3)*(1-V645)+OFFSET('玩法产出(新)'!$C$18,1+MATCH(X645,'玩法产出(新)'!$B$19:$B$25,0),3)*(V645))^AB645*(1+OFFSET('玩法产出(新)'!$C$18,MATCH(X645,'玩法产出(新)'!$B$19:$B$25,0),4)*(1-V645)+OFFSET('玩法产出(新)'!$C$18,1+MATCH(X645,'玩法产出(新)'!$B$19:$B$25,0),4)*(V645))^AC645*(1+OFFSET('玩法产出(新)'!$C$18,MATCH(X645,'玩法产出(新)'!$B$19:$B$25,0),5)*(1+V645)+OFFSET('玩法产出(新)'!$C$18,1+MATCH(X645,'玩法产出(新)'!$B$19:$B$25,5),1)*(V645))^AD645*(1+OFFSET('玩法产出(新)'!$C$18,MATCH(X645,'玩法产出(新)'!$B$19:$B$25,0),6)*(1+V645)+OFFSET('玩法产出(新)'!$C$18,1+MATCH(X645,'玩法产出(新)'!$B$19:$B$25,0),6)*(V645))^AE645</f>
        <v>770.507935104104</v>
      </c>
      <c r="U645" s="226">
        <f ca="1" t="shared" si="353"/>
        <v>0.182796735926233</v>
      </c>
      <c r="V645" s="226">
        <f ca="1">COUNTIF($X$124:$X645,X645)/(COUNTIF($X$124:$X$723,X645)+1)</f>
        <v>0.837113402061856</v>
      </c>
      <c r="W645" s="19">
        <v>30</v>
      </c>
      <c r="X645" s="19" t="s">
        <v>326</v>
      </c>
      <c r="Y645" s="19">
        <f t="shared" si="359"/>
        <v>53360</v>
      </c>
      <c r="Z645" s="19">
        <f ca="1" t="shared" si="335"/>
        <v>0</v>
      </c>
      <c r="AA645" s="282">
        <f ca="1" t="shared" si="336"/>
        <v>0</v>
      </c>
      <c r="AB645" s="282">
        <f ca="1" t="shared" si="337"/>
        <v>18</v>
      </c>
      <c r="AC645" s="282">
        <f ca="1" t="shared" si="338"/>
        <v>11.0142</v>
      </c>
      <c r="AD645" s="282">
        <f ca="1" t="shared" si="339"/>
        <v>2.75355</v>
      </c>
      <c r="AE645" s="282">
        <f ca="1" t="shared" si="340"/>
        <v>0.6883875</v>
      </c>
      <c r="AF645" s="19" t="str">
        <f t="shared" si="341"/>
        <v>彩5</v>
      </c>
      <c r="AG645" s="19">
        <f>IFERROR(_xlfn.XLOOKUP(C645+1,[2]基因升级!$E$141:$E$500,[2]基因升级!$D$141:$D$500)-1,AG644)</f>
        <v>118</v>
      </c>
      <c r="AH645" s="19">
        <v>8</v>
      </c>
      <c r="AI645" s="19">
        <f t="shared" si="342"/>
        <v>10.5142500606751</v>
      </c>
      <c r="AJ645" s="19">
        <f t="shared" si="354"/>
        <v>0</v>
      </c>
      <c r="AK645" s="269">
        <v>2.0368</v>
      </c>
      <c r="AL645" s="287">
        <f t="shared" si="322"/>
        <v>22.5199999999997</v>
      </c>
      <c r="AM645" s="287">
        <f t="shared" si="323"/>
        <v>18.9199999999998</v>
      </c>
      <c r="AN645" s="287">
        <f t="shared" si="325"/>
        <v>15.3199999999998</v>
      </c>
      <c r="AO645" s="287">
        <f t="shared" ref="AO645:AO708" si="360">AN555</f>
        <v>11.7199999999999</v>
      </c>
      <c r="AP645" s="287">
        <f t="shared" si="324"/>
        <v>8.12</v>
      </c>
      <c r="AQ645" s="19">
        <f t="shared" si="343"/>
        <v>4.58904877314972</v>
      </c>
      <c r="AR645" s="19">
        <f t="shared" si="344"/>
        <v>3.59700526749049</v>
      </c>
      <c r="AS645" s="19">
        <f t="shared" si="345"/>
        <v>2.81941803932364</v>
      </c>
      <c r="AT645" s="19">
        <f t="shared" si="346"/>
        <v>2.2099267277441</v>
      </c>
      <c r="AU645" s="19">
        <f t="shared" si="347"/>
        <v>1.73219298233948</v>
      </c>
      <c r="AV645" s="232">
        <f t="shared" si="327"/>
        <v>0.0399999999999991</v>
      </c>
      <c r="AW645" s="232">
        <f t="shared" si="328"/>
        <v>0.0399999999999991</v>
      </c>
      <c r="AX645" s="232">
        <f t="shared" si="329"/>
        <v>0.0399999999999991</v>
      </c>
      <c r="AY645" s="232">
        <f t="shared" si="330"/>
        <v>0.0399999999999991</v>
      </c>
      <c r="AZ645" s="232">
        <f t="shared" si="331"/>
        <v>0.0399999999999991</v>
      </c>
    </row>
    <row r="646" spans="1:52">
      <c r="A646" s="269"/>
      <c r="C646" s="19">
        <v>523</v>
      </c>
      <c r="D646" s="86">
        <f ca="1" t="shared" si="355"/>
        <v>297.267255677121</v>
      </c>
      <c r="E646" s="251">
        <f ca="1" t="shared" si="332"/>
        <v>0.338447452318982</v>
      </c>
      <c r="F646" s="269">
        <f ca="1" t="shared" si="348"/>
        <v>574.230421854022</v>
      </c>
      <c r="G646" s="283">
        <f ca="1" t="shared" si="349"/>
        <v>194.346823320548</v>
      </c>
      <c r="H646" s="279">
        <f ca="1" t="shared" si="350"/>
        <v>0.155505347470694</v>
      </c>
      <c r="I646" s="269">
        <f ca="1">SUM($J$125:J646)/SUM($H$125:H646)</f>
        <v>0.459690107875904</v>
      </c>
      <c r="J646" s="284">
        <f t="shared" si="356"/>
        <v>0.0480134082562245</v>
      </c>
      <c r="K646" s="19">
        <f t="shared" si="358"/>
        <v>53200</v>
      </c>
      <c r="L646" s="269">
        <f t="shared" si="351"/>
        <v>3.65999999999994</v>
      </c>
      <c r="M646" s="226">
        <f ca="1" t="shared" si="352"/>
        <v>1165.824</v>
      </c>
      <c r="N646" s="280">
        <f ca="1" t="shared" si="357"/>
        <v>0.107491939214469</v>
      </c>
      <c r="O646" s="226">
        <f t="shared" si="321"/>
        <v>422.4</v>
      </c>
      <c r="P646" s="19">
        <f ca="1" t="shared" si="326"/>
        <v>18.6</v>
      </c>
      <c r="Q646" s="226">
        <f ca="1" t="shared" si="320"/>
        <v>2.76</v>
      </c>
      <c r="R646" s="269">
        <f ca="1" t="shared" si="333"/>
        <v>1.04770844279169</v>
      </c>
      <c r="S646" s="266">
        <f ca="1" t="shared" si="334"/>
        <v>98.4268488822981</v>
      </c>
      <c r="T646" s="226">
        <f ca="1">(1+OFFSET('玩法产出(新)'!$C$18,MATCH(X646,'玩法产出(新)'!$B$19:$B$25,0),1)*(1-V646)+OFFSET('玩法产出(新)'!$C$18,1+MATCH(X646,'玩法产出(新)'!$B$19:$B$25,0),1)*(V646))^AA646*(1+OFFSET('玩法产出(新)'!$C$18,MATCH(X646,'玩法产出(新)'!$B$19:$B$25,0),3)*(1-V646)+OFFSET('玩法产出(新)'!$C$18,1+MATCH(X646,'玩法产出(新)'!$B$19:$B$25,0),3)*(V646))^AB646*(1+OFFSET('玩法产出(新)'!$C$18,MATCH(X646,'玩法产出(新)'!$B$19:$B$25,0),4)*(1-V646)+OFFSET('玩法产出(新)'!$C$18,1+MATCH(X646,'玩法产出(新)'!$B$19:$B$25,0),4)*(V646))^AC646*(1+OFFSET('玩法产出(新)'!$C$18,MATCH(X646,'玩法产出(新)'!$B$19:$B$25,0),5)*(1+V646)+OFFSET('玩法产出(新)'!$C$18,1+MATCH(X646,'玩法产出(新)'!$B$19:$B$25,5),1)*(V646))^AD646*(1+OFFSET('玩法产出(新)'!$C$18,MATCH(X646,'玩法产出(新)'!$B$19:$B$25,0),6)*(1+V646)+OFFSET('玩法产出(新)'!$C$18,1+MATCH(X646,'玩法产出(新)'!$B$19:$B$25,0),6)*(V646))^AE646</f>
        <v>780.104253365208</v>
      </c>
      <c r="U646" s="226">
        <f ca="1" t="shared" si="353"/>
        <v>0.182942104848288</v>
      </c>
      <c r="V646" s="226">
        <f ca="1">COUNTIF($X$124:$X646,X646)/(COUNTIF($X$124:$X$723,X646)+1)</f>
        <v>0.839175257731959</v>
      </c>
      <c r="W646" s="19">
        <v>30</v>
      </c>
      <c r="X646" s="19" t="s">
        <v>326</v>
      </c>
      <c r="Y646" s="19">
        <f t="shared" si="359"/>
        <v>53460</v>
      </c>
      <c r="Z646" s="19">
        <f ca="1" t="shared" si="335"/>
        <v>0</v>
      </c>
      <c r="AA646" s="282">
        <f ca="1" t="shared" si="336"/>
        <v>0</v>
      </c>
      <c r="AB646" s="282">
        <f ca="1" t="shared" si="337"/>
        <v>18</v>
      </c>
      <c r="AC646" s="282">
        <f ca="1" t="shared" si="338"/>
        <v>11.03505</v>
      </c>
      <c r="AD646" s="282">
        <f ca="1" t="shared" si="339"/>
        <v>2.7587625</v>
      </c>
      <c r="AE646" s="282">
        <f ca="1" t="shared" si="340"/>
        <v>0.689690625</v>
      </c>
      <c r="AF646" s="19" t="str">
        <f t="shared" si="341"/>
        <v>彩5</v>
      </c>
      <c r="AG646" s="19">
        <f>IFERROR(_xlfn.XLOOKUP(C646+1,[2]基因升级!$E$141:$E$500,[2]基因升级!$D$141:$D$500)-1,AG645)</f>
        <v>118</v>
      </c>
      <c r="AH646" s="19">
        <v>8</v>
      </c>
      <c r="AI646" s="19">
        <f t="shared" si="342"/>
        <v>10.5142500606751</v>
      </c>
      <c r="AJ646" s="19">
        <f t="shared" si="354"/>
        <v>0</v>
      </c>
      <c r="AK646" s="269">
        <v>2.0368</v>
      </c>
      <c r="AL646" s="287">
        <f t="shared" si="322"/>
        <v>22.5599999999997</v>
      </c>
      <c r="AM646" s="287">
        <f t="shared" si="323"/>
        <v>18.9599999999998</v>
      </c>
      <c r="AN646" s="287">
        <f t="shared" si="325"/>
        <v>15.3599999999998</v>
      </c>
      <c r="AO646" s="287">
        <f t="shared" si="360"/>
        <v>11.7599999999999</v>
      </c>
      <c r="AP646" s="287">
        <f t="shared" si="324"/>
        <v>8.16</v>
      </c>
      <c r="AQ646" s="19">
        <f t="shared" si="343"/>
        <v>4.60148514763573</v>
      </c>
      <c r="AR646" s="19">
        <f t="shared" si="344"/>
        <v>3.60675319276782</v>
      </c>
      <c r="AS646" s="19">
        <f t="shared" si="345"/>
        <v>2.82705869434888</v>
      </c>
      <c r="AT646" s="19">
        <f t="shared" si="346"/>
        <v>2.21591565436734</v>
      </c>
      <c r="AU646" s="19">
        <f t="shared" si="347"/>
        <v>1.73688724506697</v>
      </c>
      <c r="AV646" s="232">
        <f t="shared" si="327"/>
        <v>0.0399999999999991</v>
      </c>
      <c r="AW646" s="232">
        <f t="shared" si="328"/>
        <v>0.0399999999999991</v>
      </c>
      <c r="AX646" s="232">
        <f t="shared" si="329"/>
        <v>0.0399999999999991</v>
      </c>
      <c r="AY646" s="232">
        <f t="shared" si="330"/>
        <v>0.0399999999999991</v>
      </c>
      <c r="AZ646" s="232">
        <f t="shared" si="331"/>
        <v>0.0399999999999991</v>
      </c>
    </row>
    <row r="647" spans="1:52">
      <c r="A647" s="269"/>
      <c r="C647" s="19">
        <v>524</v>
      </c>
      <c r="D647" s="86">
        <f ca="1" t="shared" si="355"/>
        <v>297.604992505017</v>
      </c>
      <c r="E647" s="251">
        <f ca="1" t="shared" si="332"/>
        <v>0.337736827896134</v>
      </c>
      <c r="F647" s="269">
        <f ca="1" t="shared" si="348"/>
        <v>575.896546289725</v>
      </c>
      <c r="G647" s="283">
        <f ca="1" t="shared" si="349"/>
        <v>194.501472740231</v>
      </c>
      <c r="H647" s="279">
        <f ca="1" t="shared" si="350"/>
        <v>0.154649419683238</v>
      </c>
      <c r="I647" s="269">
        <f ca="1">SUM($J$125:J647)/SUM($H$125:H647)</f>
        <v>0.459564595565613</v>
      </c>
      <c r="J647" s="284">
        <f t="shared" si="356"/>
        <v>0.0479336023212937</v>
      </c>
      <c r="K647" s="19">
        <f t="shared" si="358"/>
        <v>53300</v>
      </c>
      <c r="L647" s="269">
        <f t="shared" si="351"/>
        <v>3.66499999999994</v>
      </c>
      <c r="M647" s="226">
        <f ca="1" t="shared" si="352"/>
        <v>1174.272</v>
      </c>
      <c r="N647" s="280">
        <f ca="1" t="shared" si="357"/>
        <v>0.10671581736193</v>
      </c>
      <c r="O647" s="226">
        <f t="shared" si="321"/>
        <v>422.4</v>
      </c>
      <c r="P647" s="19">
        <f ca="1" t="shared" si="326"/>
        <v>18.8</v>
      </c>
      <c r="Q647" s="226">
        <f ca="1" t="shared" si="320"/>
        <v>2.78</v>
      </c>
      <c r="R647" s="269">
        <f ca="1" t="shared" si="333"/>
        <v>1.04965732386968</v>
      </c>
      <c r="S647" s="266">
        <f ca="1" t="shared" si="334"/>
        <v>98.609936290511</v>
      </c>
      <c r="T647" s="226">
        <f ca="1">(1+OFFSET('玩法产出(新)'!$C$18,MATCH(X647,'玩法产出(新)'!$B$19:$B$25,0),1)*(1-V647)+OFFSET('玩法产出(新)'!$C$18,1+MATCH(X647,'玩法产出(新)'!$B$19:$B$25,0),1)*(V647))^AA647*(1+OFFSET('玩法产出(新)'!$C$18,MATCH(X647,'玩法产出(新)'!$B$19:$B$25,0),3)*(1-V647)+OFFSET('玩法产出(新)'!$C$18,1+MATCH(X647,'玩法产出(新)'!$B$19:$B$25,0),3)*(V647))^AB647*(1+OFFSET('玩法产出(新)'!$C$18,MATCH(X647,'玩法产出(新)'!$B$19:$B$25,0),4)*(1-V647)+OFFSET('玩法产出(新)'!$C$18,1+MATCH(X647,'玩法产出(新)'!$B$19:$B$25,0),4)*(V647))^AC647*(1+OFFSET('玩法产出(新)'!$C$18,MATCH(X647,'玩法产出(新)'!$B$19:$B$25,0),5)*(1+V647)+OFFSET('玩法产出(新)'!$C$18,1+MATCH(X647,'玩法产出(新)'!$B$19:$B$25,5),1)*(V647))^AD647*(1+OFFSET('玩法产出(新)'!$C$18,MATCH(X647,'玩法产出(新)'!$B$19:$B$25,0),6)*(1+V647)+OFFSET('玩法产出(新)'!$C$18,1+MATCH(X647,'玩法产出(新)'!$B$19:$B$25,0),6)*(V647))^AE647</f>
        <v>789.827854093234</v>
      </c>
      <c r="U647" s="226">
        <f ca="1" t="shared" si="353"/>
        <v>0.18308740821291</v>
      </c>
      <c r="V647" s="226">
        <f ca="1">COUNTIF($X$124:$X647,X647)/(COUNTIF($X$124:$X$723,X647)+1)</f>
        <v>0.841237113402062</v>
      </c>
      <c r="W647" s="19">
        <v>30</v>
      </c>
      <c r="X647" s="19" t="s">
        <v>326</v>
      </c>
      <c r="Y647" s="19">
        <f t="shared" si="359"/>
        <v>53560</v>
      </c>
      <c r="Z647" s="19">
        <f ca="1" t="shared" si="335"/>
        <v>0</v>
      </c>
      <c r="AA647" s="282">
        <f ca="1" t="shared" si="336"/>
        <v>0</v>
      </c>
      <c r="AB647" s="282">
        <f ca="1" t="shared" si="337"/>
        <v>18</v>
      </c>
      <c r="AC647" s="282">
        <f ca="1" t="shared" si="338"/>
        <v>11.0559</v>
      </c>
      <c r="AD647" s="282">
        <f ca="1" t="shared" si="339"/>
        <v>2.763975</v>
      </c>
      <c r="AE647" s="282">
        <f ca="1" t="shared" si="340"/>
        <v>0.69099375</v>
      </c>
      <c r="AF647" s="19" t="str">
        <f t="shared" si="341"/>
        <v>彩5</v>
      </c>
      <c r="AG647" s="19">
        <f>IFERROR(_xlfn.XLOOKUP(C647+1,[2]基因升级!$E$141:$E$500,[2]基因升级!$D$141:$D$500)-1,AG646)</f>
        <v>118</v>
      </c>
      <c r="AH647" s="19">
        <v>8</v>
      </c>
      <c r="AI647" s="19">
        <f t="shared" si="342"/>
        <v>10.5142500606751</v>
      </c>
      <c r="AJ647" s="19">
        <f t="shared" si="354"/>
        <v>0</v>
      </c>
      <c r="AK647" s="269">
        <v>2.0368</v>
      </c>
      <c r="AL647" s="287">
        <f t="shared" si="322"/>
        <v>22.5999999999997</v>
      </c>
      <c r="AM647" s="287">
        <f t="shared" si="323"/>
        <v>18.9999999999998</v>
      </c>
      <c r="AN647" s="287">
        <f t="shared" si="325"/>
        <v>15.3999999999998</v>
      </c>
      <c r="AO647" s="287">
        <f t="shared" si="360"/>
        <v>11.7999999999999</v>
      </c>
      <c r="AP647" s="287">
        <f t="shared" si="324"/>
        <v>8.2</v>
      </c>
      <c r="AQ647" s="19">
        <f t="shared" si="343"/>
        <v>4.61395522483836</v>
      </c>
      <c r="AR647" s="19">
        <f t="shared" si="344"/>
        <v>3.61652753503376</v>
      </c>
      <c r="AS647" s="19">
        <f t="shared" si="345"/>
        <v>2.83472005563634</v>
      </c>
      <c r="AT647" s="19">
        <f t="shared" si="346"/>
        <v>2.22192081105</v>
      </c>
      <c r="AU647" s="19">
        <f t="shared" si="347"/>
        <v>1.74159422929996</v>
      </c>
      <c r="AV647" s="232">
        <f t="shared" si="327"/>
        <v>0.0399999999999991</v>
      </c>
      <c r="AW647" s="232">
        <f t="shared" si="328"/>
        <v>0.0399999999999991</v>
      </c>
      <c r="AX647" s="232">
        <f t="shared" si="329"/>
        <v>0.0399999999999991</v>
      </c>
      <c r="AY647" s="232">
        <f t="shared" si="330"/>
        <v>0.0399999999999991</v>
      </c>
      <c r="AZ647" s="232">
        <f t="shared" si="331"/>
        <v>0.0399999999999991</v>
      </c>
    </row>
    <row r="648" spans="1:52">
      <c r="A648" s="269"/>
      <c r="C648" s="19">
        <v>525</v>
      </c>
      <c r="D648" s="86">
        <f ca="1" t="shared" si="355"/>
        <v>297.942030041328</v>
      </c>
      <c r="E648" s="251">
        <f ca="1" t="shared" si="332"/>
        <v>0.337037536310932</v>
      </c>
      <c r="F648" s="269">
        <f ca="1" t="shared" si="348"/>
        <v>577.547770379118</v>
      </c>
      <c r="G648" s="283">
        <f ca="1" t="shared" si="349"/>
        <v>194.655277630449</v>
      </c>
      <c r="H648" s="279">
        <f ca="1" t="shared" si="350"/>
        <v>0.153804890218197</v>
      </c>
      <c r="I648" s="269">
        <f ca="1">SUM($J$125:J648)/SUM($H$125:H648)</f>
        <v>0.45944096403397</v>
      </c>
      <c r="J648" s="284">
        <f t="shared" si="356"/>
        <v>0.0478540673697978</v>
      </c>
      <c r="K648" s="19">
        <f t="shared" si="358"/>
        <v>53400</v>
      </c>
      <c r="L648" s="269">
        <f t="shared" si="351"/>
        <v>3.66999999999994</v>
      </c>
      <c r="M648" s="226">
        <f ca="1" t="shared" si="352"/>
        <v>1182.72</v>
      </c>
      <c r="N648" s="280">
        <f ca="1" t="shared" si="357"/>
        <v>0.105950822848413</v>
      </c>
      <c r="O648" s="226">
        <f t="shared" si="321"/>
        <v>422.4</v>
      </c>
      <c r="P648" s="19">
        <f ca="1" t="shared" si="326"/>
        <v>19</v>
      </c>
      <c r="Q648" s="226">
        <f ca="1" t="shared" si="320"/>
        <v>2.8</v>
      </c>
      <c r="R648" s="269">
        <f ca="1" t="shared" si="333"/>
        <v>1.05160775093797</v>
      </c>
      <c r="S648" s="266">
        <f ca="1" t="shared" si="334"/>
        <v>98.7931689366037</v>
      </c>
      <c r="T648" s="226">
        <f ca="1">(1+OFFSET('玩法产出(新)'!$C$18,MATCH(X648,'玩法产出(新)'!$B$19:$B$25,0),1)*(1-V648)+OFFSET('玩法产出(新)'!$C$18,1+MATCH(X648,'玩法产出(新)'!$B$19:$B$25,0),1)*(V648))^AA648*(1+OFFSET('玩法产出(新)'!$C$18,MATCH(X648,'玩法产出(新)'!$B$19:$B$25,0),3)*(1-V648)+OFFSET('玩法产出(新)'!$C$18,1+MATCH(X648,'玩法产出(新)'!$B$19:$B$25,0),3)*(V648))^AB648*(1+OFFSET('玩法产出(新)'!$C$18,MATCH(X648,'玩法产出(新)'!$B$19:$B$25,0),4)*(1-V648)+OFFSET('玩法产出(新)'!$C$18,1+MATCH(X648,'玩法产出(新)'!$B$19:$B$25,0),4)*(V648))^AC648*(1+OFFSET('玩法产出(新)'!$C$18,MATCH(X648,'玩法产出(新)'!$B$19:$B$25,0),5)*(1+V648)+OFFSET('玩法产出(新)'!$C$18,1+MATCH(X648,'玩法产出(新)'!$B$19:$B$25,5),1)*(V648))^AD648*(1+OFFSET('玩法产出(新)'!$C$18,MATCH(X648,'玩法产出(新)'!$B$19:$B$25,0),6)*(1+V648)+OFFSET('玩法产出(新)'!$C$18,1+MATCH(X648,'玩法产出(新)'!$B$19:$B$25,0),6)*(V648))^AE648</f>
        <v>799.680512634461</v>
      </c>
      <c r="U648" s="226">
        <f ca="1" t="shared" si="353"/>
        <v>0.18323264609272</v>
      </c>
      <c r="V648" s="226">
        <f ca="1">COUNTIF($X$124:$X648,X648)/(COUNTIF($X$124:$X$723,X648)+1)</f>
        <v>0.843298969072165</v>
      </c>
      <c r="W648" s="19">
        <v>30</v>
      </c>
      <c r="X648" s="19" t="s">
        <v>326</v>
      </c>
      <c r="Y648" s="19">
        <f t="shared" si="359"/>
        <v>53660</v>
      </c>
      <c r="Z648" s="19">
        <f ca="1" t="shared" si="335"/>
        <v>0</v>
      </c>
      <c r="AA648" s="282">
        <f ca="1" t="shared" si="336"/>
        <v>0</v>
      </c>
      <c r="AB648" s="282">
        <f ca="1" t="shared" si="337"/>
        <v>18</v>
      </c>
      <c r="AC648" s="282">
        <f ca="1" t="shared" si="338"/>
        <v>11.07675</v>
      </c>
      <c r="AD648" s="282">
        <f ca="1" t="shared" si="339"/>
        <v>2.7691875</v>
      </c>
      <c r="AE648" s="282">
        <f ca="1" t="shared" si="340"/>
        <v>0.692296875</v>
      </c>
      <c r="AF648" s="19" t="str">
        <f t="shared" si="341"/>
        <v>彩5</v>
      </c>
      <c r="AG648" s="19">
        <f>IFERROR(_xlfn.XLOOKUP(C648+1,[2]基因升级!$E$141:$E$500,[2]基因升级!$D$141:$D$500)-1,AG647)</f>
        <v>118</v>
      </c>
      <c r="AH648" s="19">
        <v>8</v>
      </c>
      <c r="AI648" s="19">
        <f t="shared" si="342"/>
        <v>10.5142500606751</v>
      </c>
      <c r="AJ648" s="19">
        <f t="shared" si="354"/>
        <v>0</v>
      </c>
      <c r="AK648" s="269">
        <v>2.0368</v>
      </c>
      <c r="AL648" s="287">
        <f t="shared" si="322"/>
        <v>22.6399999999997</v>
      </c>
      <c r="AM648" s="287">
        <f t="shared" si="323"/>
        <v>19.0399999999998</v>
      </c>
      <c r="AN648" s="287">
        <f t="shared" si="325"/>
        <v>15.4399999999998</v>
      </c>
      <c r="AO648" s="287">
        <f t="shared" si="360"/>
        <v>11.8399999999999</v>
      </c>
      <c r="AP648" s="287">
        <f t="shared" si="324"/>
        <v>8.23999999999999</v>
      </c>
      <c r="AQ648" s="19">
        <f t="shared" si="343"/>
        <v>4.62645909609235</v>
      </c>
      <c r="AR648" s="19">
        <f t="shared" si="344"/>
        <v>3.62632836587866</v>
      </c>
      <c r="AS648" s="19">
        <f t="shared" si="345"/>
        <v>2.84240217930021</v>
      </c>
      <c r="AT648" s="19">
        <f t="shared" si="346"/>
        <v>2.22794224177572</v>
      </c>
      <c r="AU648" s="19">
        <f t="shared" si="347"/>
        <v>1.74631396951387</v>
      </c>
      <c r="AV648" s="232">
        <f t="shared" si="327"/>
        <v>0.0399999999999991</v>
      </c>
      <c r="AW648" s="232">
        <f t="shared" si="328"/>
        <v>0.0399999999999991</v>
      </c>
      <c r="AX648" s="232">
        <f t="shared" si="329"/>
        <v>0.0399999999999991</v>
      </c>
      <c r="AY648" s="232">
        <f t="shared" si="330"/>
        <v>0.0399999999999991</v>
      </c>
      <c r="AZ648" s="232">
        <f t="shared" si="331"/>
        <v>0.0399999999999991</v>
      </c>
    </row>
    <row r="649" spans="1:52">
      <c r="A649" s="269"/>
      <c r="C649" s="19">
        <v>526</v>
      </c>
      <c r="D649" s="86">
        <f ca="1" t="shared" si="355"/>
        <v>298.278379379959</v>
      </c>
      <c r="E649" s="251">
        <f ca="1" t="shared" si="332"/>
        <v>0.336349338631249</v>
      </c>
      <c r="F649" s="269">
        <f ca="1" t="shared" si="348"/>
        <v>579.184278890749</v>
      </c>
      <c r="G649" s="283">
        <f ca="1" t="shared" si="349"/>
        <v>194.808249150521</v>
      </c>
      <c r="H649" s="279">
        <f ca="1" t="shared" si="350"/>
        <v>0.152971520071105</v>
      </c>
      <c r="I649" s="269">
        <f ca="1">SUM($J$125:J649)/SUM($H$125:H649)</f>
        <v>0.459319180613809</v>
      </c>
      <c r="J649" s="284">
        <f t="shared" si="356"/>
        <v>0.0477748019956863</v>
      </c>
      <c r="K649" s="19">
        <f t="shared" si="358"/>
        <v>53500</v>
      </c>
      <c r="L649" s="269">
        <f t="shared" si="351"/>
        <v>3.67499999999994</v>
      </c>
      <c r="M649" s="226">
        <f ca="1" t="shared" si="352"/>
        <v>1191.168</v>
      </c>
      <c r="N649" s="280">
        <f ca="1" t="shared" si="357"/>
        <v>0.105196718075419</v>
      </c>
      <c r="O649" s="226">
        <f t="shared" si="321"/>
        <v>422.4</v>
      </c>
      <c r="P649" s="19">
        <f ca="1" t="shared" si="326"/>
        <v>19.2</v>
      </c>
      <c r="Q649" s="226">
        <f ca="1" t="shared" ref="Q649:Q712" si="361">_xlfn.XLOOKUP(O649,$D$76:$D$95,$E$76:$E$95)*(P649-1)+1</f>
        <v>2.82</v>
      </c>
      <c r="R649" s="269">
        <f ca="1" t="shared" si="333"/>
        <v>1.05355972330027</v>
      </c>
      <c r="S649" s="266">
        <f ca="1" t="shared" si="334"/>
        <v>98.9765467551639</v>
      </c>
      <c r="T649" s="226">
        <f ca="1">(1+OFFSET('玩法产出(新)'!$C$18,MATCH(X649,'玩法产出(新)'!$B$19:$B$25,0),1)*(1-V649)+OFFSET('玩法产出(新)'!$C$18,1+MATCH(X649,'玩法产出(新)'!$B$19:$B$25,0),1)*(V649))^AA649*(1+OFFSET('玩法产出(新)'!$C$18,MATCH(X649,'玩法产出(新)'!$B$19:$B$25,0),3)*(1-V649)+OFFSET('玩法产出(新)'!$C$18,1+MATCH(X649,'玩法产出(新)'!$B$19:$B$25,0),3)*(V649))^AB649*(1+OFFSET('玩法产出(新)'!$C$18,MATCH(X649,'玩法产出(新)'!$B$19:$B$25,0),4)*(1-V649)+OFFSET('玩法产出(新)'!$C$18,1+MATCH(X649,'玩法产出(新)'!$B$19:$B$25,0),4)*(V649))^AC649*(1+OFFSET('玩法产出(新)'!$C$18,MATCH(X649,'玩法产出(新)'!$B$19:$B$25,0),5)*(1+V649)+OFFSET('玩法产出(新)'!$C$18,1+MATCH(X649,'玩法产出(新)'!$B$19:$B$25,5),1)*(V649))^AD649*(1+OFFSET('玩法产出(新)'!$C$18,MATCH(X649,'玩法产出(新)'!$B$19:$B$25,0),6)*(1+V649)+OFFSET('玩法产出(新)'!$C$18,1+MATCH(X649,'玩法产出(新)'!$B$19:$B$25,0),6)*(V649))^AE649</f>
        <v>809.664030174177</v>
      </c>
      <c r="U649" s="226">
        <f ca="1" t="shared" si="353"/>
        <v>0.183377818560144</v>
      </c>
      <c r="V649" s="226">
        <f ca="1">COUNTIF($X$124:$X649,X649)/(COUNTIF($X$124:$X$723,X649)+1)</f>
        <v>0.845360824742268</v>
      </c>
      <c r="W649" s="19">
        <v>30</v>
      </c>
      <c r="X649" s="19" t="s">
        <v>326</v>
      </c>
      <c r="Y649" s="19">
        <f t="shared" si="359"/>
        <v>53760</v>
      </c>
      <c r="Z649" s="19">
        <f ca="1" t="shared" si="335"/>
        <v>0</v>
      </c>
      <c r="AA649" s="282">
        <f ca="1" t="shared" si="336"/>
        <v>0</v>
      </c>
      <c r="AB649" s="282">
        <f ca="1" t="shared" si="337"/>
        <v>18</v>
      </c>
      <c r="AC649" s="282">
        <f ca="1" t="shared" si="338"/>
        <v>11.0976</v>
      </c>
      <c r="AD649" s="282">
        <f ca="1" t="shared" si="339"/>
        <v>2.7744</v>
      </c>
      <c r="AE649" s="282">
        <f ca="1" t="shared" si="340"/>
        <v>0.6936</v>
      </c>
      <c r="AF649" s="19" t="str">
        <f t="shared" si="341"/>
        <v>彩5</v>
      </c>
      <c r="AG649" s="19">
        <f>IFERROR(_xlfn.XLOOKUP(C649+1,[2]基因升级!$E$141:$E$500,[2]基因升级!$D$141:$D$500)-1,AG648)</f>
        <v>118</v>
      </c>
      <c r="AH649" s="19">
        <v>8</v>
      </c>
      <c r="AI649" s="19">
        <f t="shared" si="342"/>
        <v>10.5142500606751</v>
      </c>
      <c r="AJ649" s="19">
        <f t="shared" si="354"/>
        <v>0</v>
      </c>
      <c r="AK649" s="269">
        <v>2.0368</v>
      </c>
      <c r="AL649" s="287">
        <f t="shared" si="322"/>
        <v>22.6799999999997</v>
      </c>
      <c r="AM649" s="287">
        <f t="shared" si="323"/>
        <v>19.0799999999998</v>
      </c>
      <c r="AN649" s="287">
        <f t="shared" si="325"/>
        <v>15.4799999999998</v>
      </c>
      <c r="AO649" s="287">
        <f t="shared" si="360"/>
        <v>11.8799999999999</v>
      </c>
      <c r="AP649" s="287">
        <f t="shared" si="324"/>
        <v>8.27999999999999</v>
      </c>
      <c r="AQ649" s="19">
        <f t="shared" si="343"/>
        <v>4.63899685297998</v>
      </c>
      <c r="AR649" s="19">
        <f t="shared" si="344"/>
        <v>3.63615575708687</v>
      </c>
      <c r="AS649" s="19">
        <f t="shared" si="345"/>
        <v>2.85010512160679</v>
      </c>
      <c r="AT649" s="19">
        <f t="shared" si="346"/>
        <v>2.23397999064735</v>
      </c>
      <c r="AU649" s="19">
        <f t="shared" si="347"/>
        <v>1.75104650027756</v>
      </c>
      <c r="AV649" s="232">
        <f t="shared" si="327"/>
        <v>0.0399999999999991</v>
      </c>
      <c r="AW649" s="232">
        <f t="shared" si="328"/>
        <v>0.0399999999999991</v>
      </c>
      <c r="AX649" s="232">
        <f t="shared" si="329"/>
        <v>0.0399999999999991</v>
      </c>
      <c r="AY649" s="232">
        <f t="shared" si="330"/>
        <v>0.0399999999999991</v>
      </c>
      <c r="AZ649" s="232">
        <f t="shared" si="331"/>
        <v>0.0399999999999991</v>
      </c>
    </row>
    <row r="650" spans="1:52">
      <c r="A650" s="269"/>
      <c r="C650" s="19">
        <v>527</v>
      </c>
      <c r="D650" s="86">
        <f ca="1" t="shared" si="355"/>
        <v>298.614051382611</v>
      </c>
      <c r="E650" s="251">
        <f ca="1" t="shared" si="332"/>
        <v>0.33567200265143</v>
      </c>
      <c r="F650" s="269">
        <f ca="1" t="shared" si="348"/>
        <v>580.806253388776</v>
      </c>
      <c r="G650" s="283">
        <f ca="1" t="shared" si="349"/>
        <v>194.960398227485</v>
      </c>
      <c r="H650" s="279">
        <f ca="1" t="shared" si="350"/>
        <v>0.152149076964093</v>
      </c>
      <c r="I650" s="269">
        <f ca="1">SUM($J$125:J650)/SUM($H$125:H650)</f>
        <v>0.459199213395031</v>
      </c>
      <c r="J650" s="284">
        <f t="shared" si="356"/>
        <v>0.047695804802899</v>
      </c>
      <c r="K650" s="19">
        <f t="shared" si="358"/>
        <v>53600</v>
      </c>
      <c r="L650" s="269">
        <f t="shared" si="351"/>
        <v>3.67999999999994</v>
      </c>
      <c r="M650" s="226">
        <f ca="1" t="shared" si="352"/>
        <v>1199.616</v>
      </c>
      <c r="N650" s="280">
        <f ca="1" t="shared" si="357"/>
        <v>0.10445327216118</v>
      </c>
      <c r="O650" s="226">
        <f t="shared" ref="O650:O713" si="362">IF(MOD(C650,60)=0,_xlfn.XLOOKUP(_xlfn.XLOOKUP(O649,$D$76:$D$95,$C$76:$C$95)+1,$C$76:$C$95,$D$76:$D$95),O649)</f>
        <v>422.4</v>
      </c>
      <c r="P650" s="19">
        <f ca="1" t="shared" si="326"/>
        <v>19.4</v>
      </c>
      <c r="Q650" s="226">
        <f ca="1" t="shared" si="361"/>
        <v>2.84</v>
      </c>
      <c r="R650" s="269">
        <f ca="1" t="shared" si="333"/>
        <v>1.05551324026106</v>
      </c>
      <c r="S650" s="266">
        <f ca="1" t="shared" si="334"/>
        <v>99.1600696808512</v>
      </c>
      <c r="T650" s="226">
        <f ca="1">(1+OFFSET('玩法产出(新)'!$C$18,MATCH(X650,'玩法产出(新)'!$B$19:$B$25,0),1)*(1-V650)+OFFSET('玩法产出(新)'!$C$18,1+MATCH(X650,'玩法产出(新)'!$B$19:$B$25,0),1)*(V650))^AA650*(1+OFFSET('玩法产出(新)'!$C$18,MATCH(X650,'玩法产出(新)'!$B$19:$B$25,0),3)*(1-V650)+OFFSET('玩法产出(新)'!$C$18,1+MATCH(X650,'玩法产出(新)'!$B$19:$B$25,0),3)*(V650))^AB650*(1+OFFSET('玩法产出(新)'!$C$18,MATCH(X650,'玩法产出(新)'!$B$19:$B$25,0),4)*(1-V650)+OFFSET('玩法产出(新)'!$C$18,1+MATCH(X650,'玩法产出(新)'!$B$19:$B$25,0),4)*(V650))^AC650*(1+OFFSET('玩法产出(新)'!$C$18,MATCH(X650,'玩法产出(新)'!$B$19:$B$25,0),5)*(1+V650)+OFFSET('玩法产出(新)'!$C$18,1+MATCH(X650,'玩法产出(新)'!$B$19:$B$25,5),1)*(V650))^AD650*(1+OFFSET('玩法产出(新)'!$C$18,MATCH(X650,'玩法产出(新)'!$B$19:$B$25,0),6)*(1+V650)+OFFSET('玩法产出(新)'!$C$18,1+MATCH(X650,'玩法产出(新)'!$B$19:$B$25,0),6)*(V650))^AE650</f>
        <v>819.780234126946</v>
      </c>
      <c r="U650" s="226">
        <f ca="1" t="shared" si="353"/>
        <v>0.183522925687351</v>
      </c>
      <c r="V650" s="226">
        <f ca="1">COUNTIF($X$124:$X650,X650)/(COUNTIF($X$124:$X$723,X650)+1)</f>
        <v>0.847422680412371</v>
      </c>
      <c r="W650" s="19">
        <v>30</v>
      </c>
      <c r="X650" s="19" t="s">
        <v>326</v>
      </c>
      <c r="Y650" s="19">
        <f t="shared" si="359"/>
        <v>53860</v>
      </c>
      <c r="Z650" s="19">
        <f ca="1" t="shared" si="335"/>
        <v>0</v>
      </c>
      <c r="AA650" s="282">
        <f ca="1" t="shared" si="336"/>
        <v>0</v>
      </c>
      <c r="AB650" s="282">
        <f ca="1" t="shared" si="337"/>
        <v>18</v>
      </c>
      <c r="AC650" s="282">
        <f ca="1" t="shared" si="338"/>
        <v>11.11845</v>
      </c>
      <c r="AD650" s="282">
        <f ca="1" t="shared" si="339"/>
        <v>2.7796125</v>
      </c>
      <c r="AE650" s="282">
        <f ca="1" t="shared" si="340"/>
        <v>0.694903125</v>
      </c>
      <c r="AF650" s="19" t="str">
        <f t="shared" si="341"/>
        <v>彩5</v>
      </c>
      <c r="AG650" s="19">
        <f>IFERROR(_xlfn.XLOOKUP(C650+1,[2]基因升级!$E$141:$E$500,[2]基因升级!$D$141:$D$500)-1,AG649)</f>
        <v>118</v>
      </c>
      <c r="AH650" s="19">
        <v>8</v>
      </c>
      <c r="AI650" s="19">
        <f t="shared" si="342"/>
        <v>10.5142500606751</v>
      </c>
      <c r="AJ650" s="19">
        <f t="shared" si="354"/>
        <v>0</v>
      </c>
      <c r="AK650" s="269">
        <v>2.0368</v>
      </c>
      <c r="AL650" s="287">
        <f t="shared" si="322"/>
        <v>22.7199999999997</v>
      </c>
      <c r="AM650" s="287">
        <f t="shared" si="323"/>
        <v>19.1199999999998</v>
      </c>
      <c r="AN650" s="287">
        <f t="shared" si="325"/>
        <v>15.5199999999998</v>
      </c>
      <c r="AO650" s="287">
        <f t="shared" si="360"/>
        <v>11.9199999999999</v>
      </c>
      <c r="AP650" s="287">
        <f t="shared" si="324"/>
        <v>8.31999999999999</v>
      </c>
      <c r="AQ650" s="19">
        <f t="shared" si="343"/>
        <v>4.65156858733169</v>
      </c>
      <c r="AR650" s="19">
        <f t="shared" si="344"/>
        <v>3.64600978063728</v>
      </c>
      <c r="AS650" s="19">
        <f t="shared" si="345"/>
        <v>2.85782893897482</v>
      </c>
      <c r="AT650" s="19">
        <f t="shared" si="346"/>
        <v>2.24003410188724</v>
      </c>
      <c r="AU650" s="19">
        <f t="shared" si="347"/>
        <v>1.75579185625357</v>
      </c>
      <c r="AV650" s="232">
        <f t="shared" si="327"/>
        <v>0.0399999999999991</v>
      </c>
      <c r="AW650" s="232">
        <f t="shared" si="328"/>
        <v>0.0399999999999991</v>
      </c>
      <c r="AX650" s="232">
        <f t="shared" si="329"/>
        <v>0.0399999999999991</v>
      </c>
      <c r="AY650" s="232">
        <f t="shared" si="330"/>
        <v>0.0399999999999991</v>
      </c>
      <c r="AZ650" s="232">
        <f t="shared" si="331"/>
        <v>0.0399999999999991</v>
      </c>
    </row>
    <row r="651" spans="1:52">
      <c r="A651" s="269"/>
      <c r="C651" s="19">
        <v>528</v>
      </c>
      <c r="D651" s="86">
        <f ca="1" t="shared" si="355"/>
        <v>298.949056685267</v>
      </c>
      <c r="E651" s="251">
        <f ca="1" t="shared" si="332"/>
        <v>0.335005302656534</v>
      </c>
      <c r="F651" s="269">
        <f ca="1" t="shared" si="348"/>
        <v>582.413872304087</v>
      </c>
      <c r="G651" s="283">
        <f ca="1" t="shared" si="349"/>
        <v>195.111735562595</v>
      </c>
      <c r="H651" s="279">
        <f ca="1" t="shared" si="350"/>
        <v>0.151337335109986</v>
      </c>
      <c r="I651" s="269">
        <f ca="1">SUM($J$125:J651)/SUM($H$125:H651)</f>
        <v>0.459081031202161</v>
      </c>
      <c r="J651" s="284">
        <f t="shared" si="356"/>
        <v>0.0476170744050535</v>
      </c>
      <c r="K651" s="19">
        <f t="shared" si="358"/>
        <v>53700</v>
      </c>
      <c r="L651" s="269">
        <f t="shared" si="351"/>
        <v>3.68499999999994</v>
      </c>
      <c r="M651" s="226">
        <f ca="1" t="shared" si="352"/>
        <v>1208.064</v>
      </c>
      <c r="N651" s="280">
        <f ca="1" t="shared" si="357"/>
        <v>0.103720260704918</v>
      </c>
      <c r="O651" s="226">
        <f t="shared" si="362"/>
        <v>422.4</v>
      </c>
      <c r="P651" s="19">
        <f ca="1" t="shared" si="326"/>
        <v>19.6</v>
      </c>
      <c r="Q651" s="226">
        <f ca="1" t="shared" si="361"/>
        <v>2.86</v>
      </c>
      <c r="R651" s="269">
        <f ca="1" t="shared" si="333"/>
        <v>1.05746830112559</v>
      </c>
      <c r="S651" s="266">
        <f ca="1" t="shared" si="334"/>
        <v>99.3437376483978</v>
      </c>
      <c r="T651" s="226">
        <f ca="1">(1+OFFSET('玩法产出(新)'!$C$18,MATCH(X651,'玩法产出(新)'!$B$19:$B$25,0),1)*(1-V651)+OFFSET('玩法产出(新)'!$C$18,1+MATCH(X651,'玩法产出(新)'!$B$19:$B$25,0),1)*(V651))^AA651*(1+OFFSET('玩法产出(新)'!$C$18,MATCH(X651,'玩法产出(新)'!$B$19:$B$25,0),3)*(1-V651)+OFFSET('玩法产出(新)'!$C$18,1+MATCH(X651,'玩法产出(新)'!$B$19:$B$25,0),3)*(V651))^AB651*(1+OFFSET('玩法产出(新)'!$C$18,MATCH(X651,'玩法产出(新)'!$B$19:$B$25,0),4)*(1-V651)+OFFSET('玩法产出(新)'!$C$18,1+MATCH(X651,'玩法产出(新)'!$B$19:$B$25,0),4)*(V651))^AC651*(1+OFFSET('玩法产出(新)'!$C$18,MATCH(X651,'玩法产出(新)'!$B$19:$B$25,0),5)*(1+V651)+OFFSET('玩法产出(新)'!$C$18,1+MATCH(X651,'玩法产出(新)'!$B$19:$B$25,5),1)*(V651))^AD651*(1+OFFSET('玩法产出(新)'!$C$18,MATCH(X651,'玩法产出(新)'!$B$19:$B$25,0),6)*(1+V651)+OFFSET('玩法产出(新)'!$C$18,1+MATCH(X651,'玩法产出(新)'!$B$19:$B$25,0),6)*(V651))^AE651</f>
        <v>830.030978532967</v>
      </c>
      <c r="U651" s="226">
        <f ca="1" t="shared" si="353"/>
        <v>0.183667967546563</v>
      </c>
      <c r="V651" s="226">
        <f ca="1">COUNTIF($X$124:$X651,X651)/(COUNTIF($X$124:$X$723,X651)+1)</f>
        <v>0.849484536082474</v>
      </c>
      <c r="W651" s="19">
        <v>30</v>
      </c>
      <c r="X651" s="19" t="s">
        <v>326</v>
      </c>
      <c r="Y651" s="19">
        <f t="shared" si="359"/>
        <v>53960</v>
      </c>
      <c r="Z651" s="19">
        <f ca="1" t="shared" si="335"/>
        <v>0</v>
      </c>
      <c r="AA651" s="282">
        <f ca="1" t="shared" si="336"/>
        <v>0</v>
      </c>
      <c r="AB651" s="282">
        <f ca="1" t="shared" si="337"/>
        <v>18</v>
      </c>
      <c r="AC651" s="282">
        <f ca="1" t="shared" si="338"/>
        <v>11.1393</v>
      </c>
      <c r="AD651" s="282">
        <f ca="1" t="shared" si="339"/>
        <v>2.784825</v>
      </c>
      <c r="AE651" s="282">
        <f ca="1" t="shared" si="340"/>
        <v>0.69620625</v>
      </c>
      <c r="AF651" s="19" t="str">
        <f t="shared" si="341"/>
        <v>彩5</v>
      </c>
      <c r="AG651" s="19">
        <f>IFERROR(_xlfn.XLOOKUP(C651+1,[2]基因升级!$E$141:$E$500,[2]基因升级!$D$141:$D$500)-1,AG650)</f>
        <v>118</v>
      </c>
      <c r="AH651" s="19">
        <v>8</v>
      </c>
      <c r="AI651" s="19">
        <f t="shared" si="342"/>
        <v>10.5142500606751</v>
      </c>
      <c r="AJ651" s="19">
        <f t="shared" si="354"/>
        <v>0</v>
      </c>
      <c r="AK651" s="269">
        <v>2.0368</v>
      </c>
      <c r="AL651" s="287">
        <f t="shared" si="322"/>
        <v>22.7599999999997</v>
      </c>
      <c r="AM651" s="287">
        <f t="shared" si="323"/>
        <v>19.1599999999998</v>
      </c>
      <c r="AN651" s="287">
        <f t="shared" si="325"/>
        <v>15.5599999999998</v>
      </c>
      <c r="AO651" s="287">
        <f t="shared" si="360"/>
        <v>11.9599999999999</v>
      </c>
      <c r="AP651" s="287">
        <f t="shared" si="324"/>
        <v>8.35999999999999</v>
      </c>
      <c r="AQ651" s="19">
        <f t="shared" si="343"/>
        <v>4.6641743912268</v>
      </c>
      <c r="AR651" s="19">
        <f t="shared" si="344"/>
        <v>3.65589050870384</v>
      </c>
      <c r="AS651" s="19">
        <f t="shared" si="345"/>
        <v>2.86557368797596</v>
      </c>
      <c r="AT651" s="19">
        <f t="shared" si="346"/>
        <v>2.2461046198376</v>
      </c>
      <c r="AU651" s="19">
        <f t="shared" si="347"/>
        <v>1.76055007219837</v>
      </c>
      <c r="AV651" s="232">
        <f t="shared" si="327"/>
        <v>0.0399999999999991</v>
      </c>
      <c r="AW651" s="232">
        <f t="shared" si="328"/>
        <v>0.0399999999999991</v>
      </c>
      <c r="AX651" s="232">
        <f t="shared" si="329"/>
        <v>0.0399999999999991</v>
      </c>
      <c r="AY651" s="232">
        <f t="shared" si="330"/>
        <v>0.0399999999999991</v>
      </c>
      <c r="AZ651" s="232">
        <f t="shared" si="331"/>
        <v>0.0399999999999991</v>
      </c>
    </row>
    <row r="652" spans="1:52">
      <c r="A652" s="269"/>
      <c r="C652" s="19">
        <v>529</v>
      </c>
      <c r="D652" s="86">
        <f ca="1" t="shared" si="355"/>
        <v>299.283405704464</v>
      </c>
      <c r="E652" s="251">
        <f ca="1" t="shared" si="332"/>
        <v>0.334349019196276</v>
      </c>
      <c r="F652" s="269">
        <f ca="1" t="shared" si="348"/>
        <v>584.007311003818</v>
      </c>
      <c r="G652" s="283">
        <f ca="1" t="shared" si="349"/>
        <v>195.262271637581</v>
      </c>
      <c r="H652" s="279">
        <f ca="1" t="shared" si="350"/>
        <v>0.150536074986633</v>
      </c>
      <c r="I652" s="269">
        <f ca="1">SUM($J$125:J652)/SUM($H$125:H652)</f>
        <v>0.458964603572716</v>
      </c>
      <c r="J652" s="284">
        <f t="shared" si="356"/>
        <v>0.0475386094255157</v>
      </c>
      <c r="K652" s="19">
        <f t="shared" si="358"/>
        <v>53800</v>
      </c>
      <c r="L652" s="269">
        <f t="shared" si="351"/>
        <v>3.68999999999994</v>
      </c>
      <c r="M652" s="226">
        <f ca="1" t="shared" si="352"/>
        <v>1216.512</v>
      </c>
      <c r="N652" s="280">
        <f ca="1" t="shared" si="357"/>
        <v>0.102997465561103</v>
      </c>
      <c r="O652" s="226">
        <f t="shared" si="362"/>
        <v>422.4</v>
      </c>
      <c r="P652" s="19">
        <f ca="1" t="shared" si="326"/>
        <v>19.8</v>
      </c>
      <c r="Q652" s="226">
        <f ca="1" t="shared" si="361"/>
        <v>2.88</v>
      </c>
      <c r="R652" s="269">
        <f ca="1" t="shared" si="333"/>
        <v>1.05942490519988</v>
      </c>
      <c r="S652" s="266">
        <f ca="1" t="shared" si="334"/>
        <v>99.5275505926074</v>
      </c>
      <c r="T652" s="226">
        <f ca="1">(1+OFFSET('玩法产出(新)'!$C$18,MATCH(X652,'玩法产出(新)'!$B$19:$B$25,0),1)*(1-V652)+OFFSET('玩法产出(新)'!$C$18,1+MATCH(X652,'玩法产出(新)'!$B$19:$B$25,0),1)*(V652))^AA652*(1+OFFSET('玩法产出(新)'!$C$18,MATCH(X652,'玩法产出(新)'!$B$19:$B$25,0),3)*(1-V652)+OFFSET('玩法产出(新)'!$C$18,1+MATCH(X652,'玩法产出(新)'!$B$19:$B$25,0),3)*(V652))^AB652*(1+OFFSET('玩法产出(新)'!$C$18,MATCH(X652,'玩法产出(新)'!$B$19:$B$25,0),4)*(1-V652)+OFFSET('玩法产出(新)'!$C$18,1+MATCH(X652,'玩法产出(新)'!$B$19:$B$25,0),4)*(V652))^AC652*(1+OFFSET('玩法产出(新)'!$C$18,MATCH(X652,'玩法产出(新)'!$B$19:$B$25,0),5)*(1+V652)+OFFSET('玩法产出(新)'!$C$18,1+MATCH(X652,'玩法产出(新)'!$B$19:$B$25,5),1)*(V652))^AD652*(1+OFFSET('玩法产出(新)'!$C$18,MATCH(X652,'玩法产出(新)'!$B$19:$B$25,0),6)*(1+V652)+OFFSET('玩法产出(新)'!$C$18,1+MATCH(X652,'玩法产出(新)'!$B$19:$B$25,0),6)*(V652))^AE652</f>
        <v>840.418144460616</v>
      </c>
      <c r="U652" s="226">
        <f ca="1" t="shared" si="353"/>
        <v>0.183812944209658</v>
      </c>
      <c r="V652" s="226">
        <f ca="1">COUNTIF($X$124:$X652,X652)/(COUNTIF($X$124:$X$723,X652)+1)</f>
        <v>0.851546391752577</v>
      </c>
      <c r="W652" s="19">
        <v>30</v>
      </c>
      <c r="X652" s="19" t="s">
        <v>326</v>
      </c>
      <c r="Y652" s="19">
        <f t="shared" si="359"/>
        <v>54060</v>
      </c>
      <c r="Z652" s="19">
        <f ca="1" t="shared" si="335"/>
        <v>0</v>
      </c>
      <c r="AA652" s="282">
        <f ca="1" t="shared" si="336"/>
        <v>0</v>
      </c>
      <c r="AB652" s="282">
        <f ca="1" t="shared" si="337"/>
        <v>18</v>
      </c>
      <c r="AC652" s="282">
        <f ca="1" t="shared" si="338"/>
        <v>11.16015</v>
      </c>
      <c r="AD652" s="282">
        <f ca="1" t="shared" si="339"/>
        <v>2.7900375</v>
      </c>
      <c r="AE652" s="282">
        <f ca="1" t="shared" si="340"/>
        <v>0.697509375</v>
      </c>
      <c r="AF652" s="19" t="str">
        <f t="shared" si="341"/>
        <v>彩5</v>
      </c>
      <c r="AG652" s="19">
        <f>IFERROR(_xlfn.XLOOKUP(C652+1,[2]基因升级!$E$141:$E$500,[2]基因升级!$D$141:$D$500)-1,AG651)</f>
        <v>118</v>
      </c>
      <c r="AH652" s="19">
        <v>8</v>
      </c>
      <c r="AI652" s="19">
        <f t="shared" si="342"/>
        <v>10.5142500606751</v>
      </c>
      <c r="AJ652" s="19">
        <f t="shared" si="354"/>
        <v>0</v>
      </c>
      <c r="AK652" s="269">
        <v>2.0368</v>
      </c>
      <c r="AL652" s="287">
        <f t="shared" si="322"/>
        <v>22.7999999999997</v>
      </c>
      <c r="AM652" s="287">
        <f t="shared" si="323"/>
        <v>19.1999999999998</v>
      </c>
      <c r="AN652" s="287">
        <f t="shared" si="325"/>
        <v>15.5999999999998</v>
      </c>
      <c r="AO652" s="287">
        <f t="shared" si="360"/>
        <v>11.9999999999999</v>
      </c>
      <c r="AP652" s="287">
        <f t="shared" si="324"/>
        <v>8.39999999999999</v>
      </c>
      <c r="AQ652" s="19">
        <f t="shared" si="343"/>
        <v>4.67681435699416</v>
      </c>
      <c r="AR652" s="19">
        <f t="shared" si="344"/>
        <v>3.66579801365608</v>
      </c>
      <c r="AS652" s="19">
        <f t="shared" si="345"/>
        <v>2.87333942533518</v>
      </c>
      <c r="AT652" s="19">
        <f t="shared" si="346"/>
        <v>2.25219158896081</v>
      </c>
      <c r="AU652" s="19">
        <f t="shared" si="347"/>
        <v>1.76532118296262</v>
      </c>
      <c r="AV652" s="232">
        <f t="shared" si="327"/>
        <v>0.0399999999999991</v>
      </c>
      <c r="AW652" s="232">
        <f t="shared" si="328"/>
        <v>0.0399999999999991</v>
      </c>
      <c r="AX652" s="232">
        <f t="shared" si="329"/>
        <v>0.0399999999999991</v>
      </c>
      <c r="AY652" s="232">
        <f t="shared" si="330"/>
        <v>0.0399999999999991</v>
      </c>
      <c r="AZ652" s="232">
        <f t="shared" si="331"/>
        <v>0.0399999999999991</v>
      </c>
    </row>
    <row r="653" spans="1:52">
      <c r="A653" s="269"/>
      <c r="C653" s="19">
        <v>530</v>
      </c>
      <c r="D653" s="86">
        <f ca="1" t="shared" si="355"/>
        <v>299.617108643333</v>
      </c>
      <c r="E653" s="251">
        <f ca="1" t="shared" si="332"/>
        <v>0.333702938868907</v>
      </c>
      <c r="F653" s="269">
        <f ca="1" t="shared" si="348"/>
        <v>585.586741858056</v>
      </c>
      <c r="G653" s="283">
        <f ca="1" t="shared" si="349"/>
        <v>195.412016720701</v>
      </c>
      <c r="H653" s="279">
        <f ca="1" t="shared" si="350"/>
        <v>0.149745083120251</v>
      </c>
      <c r="I653" s="269">
        <f ca="1">SUM($J$125:J653)/SUM($H$125:H653)</f>
        <v>0.458849900736351</v>
      </c>
      <c r="J653" s="284">
        <f t="shared" si="356"/>
        <v>0.0474604084973009</v>
      </c>
      <c r="K653" s="19">
        <f t="shared" si="358"/>
        <v>53900</v>
      </c>
      <c r="L653" s="269">
        <f t="shared" si="351"/>
        <v>3.69499999999994</v>
      </c>
      <c r="M653" s="226">
        <f ca="1" t="shared" si="352"/>
        <v>1224.96</v>
      </c>
      <c r="N653" s="280">
        <f ca="1" t="shared" si="357"/>
        <v>0.102284674622979</v>
      </c>
      <c r="O653" s="226">
        <f t="shared" si="362"/>
        <v>422.4</v>
      </c>
      <c r="P653" s="19">
        <f ca="1" t="shared" si="326"/>
        <v>20</v>
      </c>
      <c r="Q653" s="226">
        <f ca="1" t="shared" si="361"/>
        <v>2.9</v>
      </c>
      <c r="R653" s="269">
        <f ca="1" t="shared" si="333"/>
        <v>1.06138305179072</v>
      </c>
      <c r="S653" s="266">
        <f ca="1" t="shared" si="334"/>
        <v>99.7115084483561</v>
      </c>
      <c r="T653" s="226">
        <f ca="1">(1+OFFSET('玩法产出(新)'!$C$18,MATCH(X653,'玩法产出(新)'!$B$19:$B$25,0),1)*(1-V653)+OFFSET('玩法产出(新)'!$C$18,1+MATCH(X653,'玩法产出(新)'!$B$19:$B$25,0),1)*(V653))^AA653*(1+OFFSET('玩法产出(新)'!$C$18,MATCH(X653,'玩法产出(新)'!$B$19:$B$25,0),3)*(1-V653)+OFFSET('玩法产出(新)'!$C$18,1+MATCH(X653,'玩法产出(新)'!$B$19:$B$25,0),3)*(V653))^AB653*(1+OFFSET('玩法产出(新)'!$C$18,MATCH(X653,'玩法产出(新)'!$B$19:$B$25,0),4)*(1-V653)+OFFSET('玩法产出(新)'!$C$18,1+MATCH(X653,'玩法产出(新)'!$B$19:$B$25,0),4)*(V653))^AC653*(1+OFFSET('玩法产出(新)'!$C$18,MATCH(X653,'玩法产出(新)'!$B$19:$B$25,0),5)*(1+V653)+OFFSET('玩法产出(新)'!$C$18,1+MATCH(X653,'玩法产出(新)'!$B$19:$B$25,5),1)*(V653))^AD653*(1+OFFSET('玩法产出(新)'!$C$18,MATCH(X653,'玩法产出(新)'!$B$19:$B$25,0),6)*(1+V653)+OFFSET('玩法产出(新)'!$C$18,1+MATCH(X653,'玩法产出(新)'!$B$19:$B$25,0),6)*(V653))^AE653</f>
        <v>850.943640415291</v>
      </c>
      <c r="U653" s="226">
        <f ca="1" t="shared" si="353"/>
        <v>0.183957855748628</v>
      </c>
      <c r="V653" s="226">
        <f ca="1">COUNTIF($X$124:$X653,X653)/(COUNTIF($X$124:$X$723,X653)+1)</f>
        <v>0.85360824742268</v>
      </c>
      <c r="W653" s="19">
        <v>30</v>
      </c>
      <c r="X653" s="19" t="s">
        <v>326</v>
      </c>
      <c r="Y653" s="19">
        <f t="shared" si="359"/>
        <v>54160</v>
      </c>
      <c r="Z653" s="19">
        <f ca="1" t="shared" si="335"/>
        <v>0</v>
      </c>
      <c r="AA653" s="282">
        <f ca="1" t="shared" si="336"/>
        <v>0</v>
      </c>
      <c r="AB653" s="282">
        <f ca="1" t="shared" si="337"/>
        <v>18</v>
      </c>
      <c r="AC653" s="282">
        <f ca="1" t="shared" si="338"/>
        <v>11.181</v>
      </c>
      <c r="AD653" s="282">
        <f ca="1" t="shared" si="339"/>
        <v>2.79525</v>
      </c>
      <c r="AE653" s="282">
        <f ca="1" t="shared" si="340"/>
        <v>0.6988125</v>
      </c>
      <c r="AF653" s="19" t="str">
        <f t="shared" si="341"/>
        <v>彩5</v>
      </c>
      <c r="AG653" s="19">
        <f>IFERROR(_xlfn.XLOOKUP(C653+1,[2]基因升级!$E$141:$E$500,[2]基因升级!$D$141:$D$500)-1,AG652)</f>
        <v>118</v>
      </c>
      <c r="AH653" s="19">
        <v>8</v>
      </c>
      <c r="AI653" s="19">
        <f t="shared" si="342"/>
        <v>10.5142500606751</v>
      </c>
      <c r="AJ653" s="19">
        <f t="shared" si="354"/>
        <v>0</v>
      </c>
      <c r="AK653" s="269">
        <v>2.0368</v>
      </c>
      <c r="AL653" s="287">
        <f t="shared" si="322"/>
        <v>22.8399999999997</v>
      </c>
      <c r="AM653" s="287">
        <f t="shared" si="323"/>
        <v>19.2399999999998</v>
      </c>
      <c r="AN653" s="287">
        <f t="shared" si="325"/>
        <v>15.6399999999998</v>
      </c>
      <c r="AO653" s="287">
        <f t="shared" si="360"/>
        <v>12.0399999999999</v>
      </c>
      <c r="AP653" s="287">
        <f t="shared" si="324"/>
        <v>8.43999999999999</v>
      </c>
      <c r="AQ653" s="19">
        <f t="shared" si="343"/>
        <v>4.68948857721283</v>
      </c>
      <c r="AR653" s="19">
        <f t="shared" si="344"/>
        <v>3.67573236805969</v>
      </c>
      <c r="AS653" s="19">
        <f t="shared" si="345"/>
        <v>2.88112620793116</v>
      </c>
      <c r="AT653" s="19">
        <f t="shared" si="346"/>
        <v>2.25829505383973</v>
      </c>
      <c r="AU653" s="19">
        <f t="shared" si="347"/>
        <v>1.77010522349142</v>
      </c>
      <c r="AV653" s="232">
        <f t="shared" si="327"/>
        <v>0.0399999999999991</v>
      </c>
      <c r="AW653" s="232">
        <f t="shared" si="328"/>
        <v>0.0399999999999991</v>
      </c>
      <c r="AX653" s="232">
        <f t="shared" si="329"/>
        <v>0.0399999999999991</v>
      </c>
      <c r="AY653" s="232">
        <f t="shared" si="330"/>
        <v>0.0399999999999991</v>
      </c>
      <c r="AZ653" s="232">
        <f t="shared" si="331"/>
        <v>0.0399999999999991</v>
      </c>
    </row>
    <row r="654" spans="1:52">
      <c r="A654" s="269"/>
      <c r="C654" s="19">
        <v>531</v>
      </c>
      <c r="D654" s="86">
        <f ca="1" t="shared" si="355"/>
        <v>299.950175497446</v>
      </c>
      <c r="E654" s="251">
        <f ca="1" t="shared" si="332"/>
        <v>0.333066854112982</v>
      </c>
      <c r="F654" s="269">
        <f ca="1" t="shared" si="348"/>
        <v>587.152334306558</v>
      </c>
      <c r="G654" s="283">
        <f ca="1" t="shared" si="349"/>
        <v>195.560980872579</v>
      </c>
      <c r="H654" s="279">
        <f ca="1" t="shared" si="350"/>
        <v>0.148964151877777</v>
      </c>
      <c r="I654" s="269">
        <f ca="1">SUM($J$125:J654)/SUM($H$125:H654)</f>
        <v>0.458736893594758</v>
      </c>
      <c r="J654" s="284">
        <f t="shared" si="356"/>
        <v>0.0473824702628747</v>
      </c>
      <c r="K654" s="19">
        <f t="shared" si="358"/>
        <v>54000</v>
      </c>
      <c r="L654" s="269">
        <f t="shared" si="351"/>
        <v>3.69999999999994</v>
      </c>
      <c r="M654" s="226">
        <f ca="1" t="shared" si="352"/>
        <v>1233.408</v>
      </c>
      <c r="N654" s="280">
        <f ca="1" t="shared" si="357"/>
        <v>0.101581681614903</v>
      </c>
      <c r="O654" s="226">
        <f t="shared" si="362"/>
        <v>422.4</v>
      </c>
      <c r="P654" s="19">
        <f ca="1" t="shared" si="326"/>
        <v>20.2</v>
      </c>
      <c r="Q654" s="226">
        <f ca="1" t="shared" si="361"/>
        <v>2.92</v>
      </c>
      <c r="R654" s="269">
        <f ca="1" t="shared" si="333"/>
        <v>1.06334274020565</v>
      </c>
      <c r="S654" s="266">
        <f ca="1" t="shared" si="334"/>
        <v>99.8956111505913</v>
      </c>
      <c r="T654" s="226">
        <f ca="1">(1+OFFSET('玩法产出(新)'!$C$18,MATCH(X654,'玩法产出(新)'!$B$19:$B$25,0),1)*(1-V654)+OFFSET('玩法产出(新)'!$C$18,1+MATCH(X654,'玩法产出(新)'!$B$19:$B$25,0),1)*(V654))^AA654*(1+OFFSET('玩法产出(新)'!$C$18,MATCH(X654,'玩法产出(新)'!$B$19:$B$25,0),3)*(1-V654)+OFFSET('玩法产出(新)'!$C$18,1+MATCH(X654,'玩法产出(新)'!$B$19:$B$25,0),3)*(V654))^AB654*(1+OFFSET('玩法产出(新)'!$C$18,MATCH(X654,'玩法产出(新)'!$B$19:$B$25,0),4)*(1-V654)+OFFSET('玩法产出(新)'!$C$18,1+MATCH(X654,'玩法产出(新)'!$B$19:$B$25,0),4)*(V654))^AC654*(1+OFFSET('玩法产出(新)'!$C$18,MATCH(X654,'玩法产出(新)'!$B$19:$B$25,0),5)*(1+V654)+OFFSET('玩法产出(新)'!$C$18,1+MATCH(X654,'玩法产出(新)'!$B$19:$B$25,5),1)*(V654))^AD654*(1+OFFSET('玩法产出(新)'!$C$18,MATCH(X654,'玩法产出(新)'!$B$19:$B$25,0),6)*(1+V654)+OFFSET('玩法产出(新)'!$C$18,1+MATCH(X654,'玩法产出(新)'!$B$19:$B$25,0),6)*(V654))^AE654</f>
        <v>861.609402754638</v>
      </c>
      <c r="U654" s="226">
        <f ca="1" t="shared" si="353"/>
        <v>0.184102702235205</v>
      </c>
      <c r="V654" s="226">
        <f ca="1">COUNTIF($X$124:$X654,X654)/(COUNTIF($X$124:$X$723,X654)+1)</f>
        <v>0.855670103092783</v>
      </c>
      <c r="W654" s="19">
        <v>30</v>
      </c>
      <c r="X654" s="19" t="s">
        <v>326</v>
      </c>
      <c r="Y654" s="19">
        <f t="shared" si="359"/>
        <v>54260</v>
      </c>
      <c r="Z654" s="19">
        <f ca="1" t="shared" si="335"/>
        <v>0</v>
      </c>
      <c r="AA654" s="282">
        <f ca="1" t="shared" si="336"/>
        <v>0</v>
      </c>
      <c r="AB654" s="282">
        <f ca="1" t="shared" si="337"/>
        <v>18</v>
      </c>
      <c r="AC654" s="282">
        <f ca="1" t="shared" si="338"/>
        <v>11.20185</v>
      </c>
      <c r="AD654" s="282">
        <f ca="1" t="shared" si="339"/>
        <v>2.8004625</v>
      </c>
      <c r="AE654" s="282">
        <f ca="1" t="shared" si="340"/>
        <v>0.700115625</v>
      </c>
      <c r="AF654" s="19" t="str">
        <f t="shared" si="341"/>
        <v>彩5</v>
      </c>
      <c r="AG654" s="19">
        <f>IFERROR(_xlfn.XLOOKUP(C654+1,[2]基因升级!$E$141:$E$500,[2]基因升级!$D$141:$D$500)-1,AG653)</f>
        <v>118</v>
      </c>
      <c r="AH654" s="19">
        <v>8</v>
      </c>
      <c r="AI654" s="19">
        <f t="shared" si="342"/>
        <v>10.5142500606751</v>
      </c>
      <c r="AJ654" s="19">
        <f t="shared" si="354"/>
        <v>0</v>
      </c>
      <c r="AK654" s="269">
        <v>2.0368</v>
      </c>
      <c r="AL654" s="287">
        <f t="shared" si="322"/>
        <v>22.8799999999997</v>
      </c>
      <c r="AM654" s="287">
        <f t="shared" si="323"/>
        <v>19.2799999999998</v>
      </c>
      <c r="AN654" s="287">
        <f t="shared" si="325"/>
        <v>15.6799999999998</v>
      </c>
      <c r="AO654" s="287">
        <f t="shared" si="360"/>
        <v>12.0799999999999</v>
      </c>
      <c r="AP654" s="287">
        <f t="shared" si="324"/>
        <v>8.47999999999999</v>
      </c>
      <c r="AQ654" s="19">
        <f t="shared" si="343"/>
        <v>4.70219714471277</v>
      </c>
      <c r="AR654" s="19">
        <f t="shared" si="344"/>
        <v>3.68569364467697</v>
      </c>
      <c r="AS654" s="19">
        <f t="shared" si="345"/>
        <v>2.88893409279674</v>
      </c>
      <c r="AT654" s="19">
        <f t="shared" si="346"/>
        <v>2.26441505917804</v>
      </c>
      <c r="AU654" s="19">
        <f t="shared" si="347"/>
        <v>1.77490222882459</v>
      </c>
      <c r="AV654" s="232">
        <f t="shared" si="327"/>
        <v>0.0399999999999991</v>
      </c>
      <c r="AW654" s="232">
        <f t="shared" si="328"/>
        <v>0.0399999999999991</v>
      </c>
      <c r="AX654" s="232">
        <f t="shared" si="329"/>
        <v>0.0399999999999991</v>
      </c>
      <c r="AY654" s="232">
        <f t="shared" si="330"/>
        <v>0.0399999999999991</v>
      </c>
      <c r="AZ654" s="232">
        <f t="shared" si="331"/>
        <v>0.0399999999999991</v>
      </c>
    </row>
    <row r="655" spans="1:52">
      <c r="A655" s="269"/>
      <c r="C655" s="19">
        <v>532</v>
      </c>
      <c r="D655" s="86">
        <f ca="1" t="shared" si="355"/>
        <v>300.282616060454</v>
      </c>
      <c r="E655" s="251">
        <f ca="1" t="shared" si="332"/>
        <v>0.332440563008782</v>
      </c>
      <c r="F655" s="269">
        <f ca="1" t="shared" si="348"/>
        <v>588.704254921735</v>
      </c>
      <c r="G655" s="283">
        <f ca="1" t="shared" si="349"/>
        <v>195.709173951847</v>
      </c>
      <c r="H655" s="279">
        <f ca="1" t="shared" si="350"/>
        <v>0.148193079267799</v>
      </c>
      <c r="I655" s="269">
        <f ca="1">SUM($J$125:J655)/SUM($H$125:H655)</f>
        <v>0.458625553702273</v>
      </c>
      <c r="J655" s="284">
        <f t="shared" si="356"/>
        <v>0.0473047933742095</v>
      </c>
      <c r="K655" s="19">
        <f t="shared" si="358"/>
        <v>54100</v>
      </c>
      <c r="L655" s="269">
        <f t="shared" si="351"/>
        <v>3.70499999999994</v>
      </c>
      <c r="M655" s="226">
        <f ca="1" t="shared" si="352"/>
        <v>1241.856</v>
      </c>
      <c r="N655" s="280">
        <f ca="1" t="shared" si="357"/>
        <v>0.100888285893589</v>
      </c>
      <c r="O655" s="226">
        <f t="shared" si="362"/>
        <v>422.4</v>
      </c>
      <c r="P655" s="19">
        <f ca="1" t="shared" si="326"/>
        <v>20.4</v>
      </c>
      <c r="Q655" s="226">
        <f ca="1" t="shared" si="361"/>
        <v>2.94</v>
      </c>
      <c r="R655" s="269">
        <f ca="1" t="shared" si="333"/>
        <v>1.06530396975298</v>
      </c>
      <c r="S655" s="266">
        <f ca="1" t="shared" si="334"/>
        <v>100.079858634332</v>
      </c>
      <c r="T655" s="226">
        <f ca="1">(1+OFFSET('玩法产出(新)'!$C$18,MATCH(X655,'玩法产出(新)'!$B$19:$B$25,0),1)*(1-V655)+OFFSET('玩法产出(新)'!$C$18,1+MATCH(X655,'玩法产出(新)'!$B$19:$B$25,0),1)*(V655))^AA655*(1+OFFSET('玩法产出(新)'!$C$18,MATCH(X655,'玩法产出(新)'!$B$19:$B$25,0),3)*(1-V655)+OFFSET('玩法产出(新)'!$C$18,1+MATCH(X655,'玩法产出(新)'!$B$19:$B$25,0),3)*(V655))^AB655*(1+OFFSET('玩法产出(新)'!$C$18,MATCH(X655,'玩法产出(新)'!$B$19:$B$25,0),4)*(1-V655)+OFFSET('玩法产出(新)'!$C$18,1+MATCH(X655,'玩法产出(新)'!$B$19:$B$25,0),4)*(V655))^AC655*(1+OFFSET('玩法产出(新)'!$C$18,MATCH(X655,'玩法产出(新)'!$B$19:$B$25,0),5)*(1+V655)+OFFSET('玩法产出(新)'!$C$18,1+MATCH(X655,'玩法产出(新)'!$B$19:$B$25,5),1)*(V655))^AD655*(1+OFFSET('玩法产出(新)'!$C$18,MATCH(X655,'玩法产出(新)'!$B$19:$B$25,0),6)*(1+V655)+OFFSET('玩法产出(新)'!$C$18,1+MATCH(X655,'玩法产出(新)'!$B$19:$B$25,0),6)*(V655))^AE655</f>
        <v>872.417396110265</v>
      </c>
      <c r="U655" s="226">
        <f ca="1" t="shared" si="353"/>
        <v>0.184247483740983</v>
      </c>
      <c r="V655" s="226">
        <f ca="1">COUNTIF($X$124:$X655,X655)/(COUNTIF($X$124:$X$723,X655)+1)</f>
        <v>0.857731958762887</v>
      </c>
      <c r="W655" s="19">
        <v>30</v>
      </c>
      <c r="X655" s="19" t="s">
        <v>326</v>
      </c>
      <c r="Y655" s="19">
        <f t="shared" si="359"/>
        <v>54360</v>
      </c>
      <c r="Z655" s="19">
        <f ca="1" t="shared" si="335"/>
        <v>0</v>
      </c>
      <c r="AA655" s="282">
        <f ca="1" t="shared" si="336"/>
        <v>0</v>
      </c>
      <c r="AB655" s="282">
        <f ca="1" t="shared" si="337"/>
        <v>18</v>
      </c>
      <c r="AC655" s="282">
        <f ca="1" t="shared" si="338"/>
        <v>11.2227</v>
      </c>
      <c r="AD655" s="282">
        <f ca="1" t="shared" si="339"/>
        <v>2.805675</v>
      </c>
      <c r="AE655" s="282">
        <f ca="1" t="shared" si="340"/>
        <v>0.70141875</v>
      </c>
      <c r="AF655" s="19" t="str">
        <f t="shared" si="341"/>
        <v>彩5</v>
      </c>
      <c r="AG655" s="19">
        <f>IFERROR(_xlfn.XLOOKUP(C655+1,[2]基因升级!$E$141:$E$500,[2]基因升级!$D$141:$D$500)-1,AG654)</f>
        <v>118</v>
      </c>
      <c r="AH655" s="19">
        <v>8</v>
      </c>
      <c r="AI655" s="19">
        <f t="shared" si="342"/>
        <v>10.5142500606751</v>
      </c>
      <c r="AJ655" s="19">
        <f t="shared" si="354"/>
        <v>0</v>
      </c>
      <c r="AK655" s="269">
        <v>2.0368</v>
      </c>
      <c r="AL655" s="287">
        <f t="shared" si="322"/>
        <v>22.9199999999997</v>
      </c>
      <c r="AM655" s="287">
        <f t="shared" si="323"/>
        <v>19.3199999999998</v>
      </c>
      <c r="AN655" s="287">
        <f t="shared" si="325"/>
        <v>15.7199999999998</v>
      </c>
      <c r="AO655" s="287">
        <f t="shared" si="360"/>
        <v>12.1199999999999</v>
      </c>
      <c r="AP655" s="287">
        <f t="shared" si="324"/>
        <v>8.51999999999999</v>
      </c>
      <c r="AQ655" s="19">
        <f t="shared" si="343"/>
        <v>4.71494015257549</v>
      </c>
      <c r="AR655" s="19">
        <f t="shared" si="344"/>
        <v>3.69568191646743</v>
      </c>
      <c r="AS655" s="19">
        <f t="shared" si="345"/>
        <v>2.89676313711931</v>
      </c>
      <c r="AT655" s="19">
        <f t="shared" si="346"/>
        <v>2.27055164980058</v>
      </c>
      <c r="AU655" s="19">
        <f t="shared" si="347"/>
        <v>1.7797122340969</v>
      </c>
      <c r="AV655" s="232">
        <f t="shared" si="327"/>
        <v>0.0399999999999991</v>
      </c>
      <c r="AW655" s="232">
        <f t="shared" si="328"/>
        <v>0.0399999999999991</v>
      </c>
      <c r="AX655" s="232">
        <f t="shared" si="329"/>
        <v>0.0399999999999991</v>
      </c>
      <c r="AY655" s="232">
        <f t="shared" si="330"/>
        <v>0.0399999999999991</v>
      </c>
      <c r="AZ655" s="232">
        <f t="shared" si="331"/>
        <v>0.0399999999999991</v>
      </c>
    </row>
    <row r="656" spans="1:52">
      <c r="A656" s="269"/>
      <c r="C656" s="19">
        <v>533</v>
      </c>
      <c r="D656" s="86">
        <f ca="1" t="shared" si="355"/>
        <v>300.614439929541</v>
      </c>
      <c r="E656" s="251">
        <f ca="1" t="shared" si="332"/>
        <v>0.331823869087085</v>
      </c>
      <c r="F656" s="269">
        <f ca="1" t="shared" si="348"/>
        <v>590.242667471265</v>
      </c>
      <c r="G656" s="283">
        <f ca="1" t="shared" si="349"/>
        <v>195.856605620597</v>
      </c>
      <c r="H656" s="279">
        <f ca="1" t="shared" si="350"/>
        <v>0.14743166874959</v>
      </c>
      <c r="I656" s="269">
        <f ca="1">SUM($J$125:J656)/SUM($H$125:H656)</f>
        <v>0.458515853247168</v>
      </c>
      <c r="J656" s="284">
        <f t="shared" si="356"/>
        <v>0.0472273764926712</v>
      </c>
      <c r="K656" s="19">
        <f t="shared" si="358"/>
        <v>54200</v>
      </c>
      <c r="L656" s="269">
        <f t="shared" si="351"/>
        <v>3.70999999999994</v>
      </c>
      <c r="M656" s="226">
        <f ca="1" t="shared" si="352"/>
        <v>1250.304</v>
      </c>
      <c r="N656" s="280">
        <f ca="1" t="shared" si="357"/>
        <v>0.100204292256919</v>
      </c>
      <c r="O656" s="226">
        <f t="shared" si="362"/>
        <v>422.4</v>
      </c>
      <c r="P656" s="19">
        <f ca="1" t="shared" si="326"/>
        <v>20.6</v>
      </c>
      <c r="Q656" s="226">
        <f ca="1" t="shared" si="361"/>
        <v>2.96</v>
      </c>
      <c r="R656" s="269">
        <f ca="1" t="shared" si="333"/>
        <v>1.06726673974178</v>
      </c>
      <c r="S656" s="266">
        <f ca="1" t="shared" si="334"/>
        <v>100.26425083467</v>
      </c>
      <c r="T656" s="226">
        <f ca="1">(1+OFFSET('玩法产出(新)'!$C$18,MATCH(X656,'玩法产出(新)'!$B$19:$B$25,0),1)*(1-V656)+OFFSET('玩法产出(新)'!$C$18,1+MATCH(X656,'玩法产出(新)'!$B$19:$B$25,0),1)*(V656))^AA656*(1+OFFSET('玩法产出(新)'!$C$18,MATCH(X656,'玩法产出(新)'!$B$19:$B$25,0),3)*(1-V656)+OFFSET('玩法产出(新)'!$C$18,1+MATCH(X656,'玩法产出(新)'!$B$19:$B$25,0),3)*(V656))^AB656*(1+OFFSET('玩法产出(新)'!$C$18,MATCH(X656,'玩法产出(新)'!$B$19:$B$25,0),4)*(1-V656)+OFFSET('玩法产出(新)'!$C$18,1+MATCH(X656,'玩法产出(新)'!$B$19:$B$25,0),4)*(V656))^AC656*(1+OFFSET('玩法产出(新)'!$C$18,MATCH(X656,'玩法产出(新)'!$B$19:$B$25,0),5)*(1+V656)+OFFSET('玩法产出(新)'!$C$18,1+MATCH(X656,'玩法产出(新)'!$B$19:$B$25,5),1)*(V656))^AD656*(1+OFFSET('玩法产出(新)'!$C$18,MATCH(X656,'玩法产出(新)'!$B$19:$B$25,0),6)*(1+V656)+OFFSET('玩法产出(新)'!$C$18,1+MATCH(X656,'玩法产出(新)'!$B$19:$B$25,0),6)*(V656))^AE656</f>
        <v>883.369613816066</v>
      </c>
      <c r="U656" s="226">
        <f ca="1" t="shared" si="353"/>
        <v>0.184392200337495</v>
      </c>
      <c r="V656" s="226">
        <f ca="1">COUNTIF($X$124:$X656,X656)/(COUNTIF($X$124:$X$723,X656)+1)</f>
        <v>0.85979381443299</v>
      </c>
      <c r="W656" s="19">
        <v>30</v>
      </c>
      <c r="X656" s="19" t="s">
        <v>326</v>
      </c>
      <c r="Y656" s="19">
        <f t="shared" si="359"/>
        <v>54460</v>
      </c>
      <c r="Z656" s="19">
        <f ca="1" t="shared" si="335"/>
        <v>0</v>
      </c>
      <c r="AA656" s="282">
        <f ca="1" t="shared" si="336"/>
        <v>0</v>
      </c>
      <c r="AB656" s="282">
        <f ca="1" t="shared" si="337"/>
        <v>18</v>
      </c>
      <c r="AC656" s="282">
        <f ca="1" t="shared" si="338"/>
        <v>11.24355</v>
      </c>
      <c r="AD656" s="282">
        <f ca="1" t="shared" si="339"/>
        <v>2.8108875</v>
      </c>
      <c r="AE656" s="282">
        <f ca="1" t="shared" si="340"/>
        <v>0.702721875</v>
      </c>
      <c r="AF656" s="19" t="str">
        <f t="shared" si="341"/>
        <v>彩5</v>
      </c>
      <c r="AG656" s="19">
        <f>IFERROR(_xlfn.XLOOKUP(C656+1,[2]基因升级!$E$141:$E$500,[2]基因升级!$D$141:$D$500)-1,AG655)</f>
        <v>118</v>
      </c>
      <c r="AH656" s="19">
        <v>8</v>
      </c>
      <c r="AI656" s="19">
        <f t="shared" si="342"/>
        <v>10.5142500606751</v>
      </c>
      <c r="AJ656" s="19">
        <f t="shared" si="354"/>
        <v>0</v>
      </c>
      <c r="AK656" s="269">
        <v>2.0368</v>
      </c>
      <c r="AL656" s="287">
        <f t="shared" ref="AL656:AL719" si="363">AL655+0.04</f>
        <v>22.9599999999997</v>
      </c>
      <c r="AM656" s="287">
        <f t="shared" si="323"/>
        <v>19.3599999999998</v>
      </c>
      <c r="AN656" s="287">
        <f t="shared" si="325"/>
        <v>15.7599999999998</v>
      </c>
      <c r="AO656" s="287">
        <f t="shared" si="360"/>
        <v>12.1599999999999</v>
      </c>
      <c r="AP656" s="287">
        <f t="shared" si="324"/>
        <v>8.55999999999999</v>
      </c>
      <c r="AQ656" s="19">
        <f t="shared" si="343"/>
        <v>4.72771769413479</v>
      </c>
      <c r="AR656" s="19">
        <f t="shared" si="344"/>
        <v>3.7056972565883</v>
      </c>
      <c r="AS656" s="19">
        <f t="shared" si="345"/>
        <v>2.90461339824124</v>
      </c>
      <c r="AT656" s="19">
        <f t="shared" si="346"/>
        <v>2.27670487065366</v>
      </c>
      <c r="AU656" s="19">
        <f t="shared" si="347"/>
        <v>1.78453527453832</v>
      </c>
      <c r="AV656" s="232">
        <f t="shared" si="327"/>
        <v>0.0399999999999991</v>
      </c>
      <c r="AW656" s="232">
        <f t="shared" si="328"/>
        <v>0.0399999999999991</v>
      </c>
      <c r="AX656" s="232">
        <f t="shared" si="329"/>
        <v>0.0399999999999991</v>
      </c>
      <c r="AY656" s="232">
        <f t="shared" si="330"/>
        <v>0.0399999999999991</v>
      </c>
      <c r="AZ656" s="232">
        <f t="shared" si="331"/>
        <v>0.0399999999999991</v>
      </c>
    </row>
    <row r="657" spans="1:52">
      <c r="A657" s="269"/>
      <c r="C657" s="19">
        <v>534</v>
      </c>
      <c r="D657" s="86">
        <f ca="1" t="shared" si="355"/>
        <v>300.945656510687</v>
      </c>
      <c r="E657" s="251">
        <f ca="1" t="shared" si="332"/>
        <v>0.331216581145874</v>
      </c>
      <c r="F657" s="269">
        <f ca="1" t="shared" si="348"/>
        <v>591.767732978691</v>
      </c>
      <c r="G657" s="283">
        <f ca="1" t="shared" si="349"/>
        <v>196.003285349646</v>
      </c>
      <c r="H657" s="279">
        <f ca="1" t="shared" si="350"/>
        <v>0.146679729049765</v>
      </c>
      <c r="I657" s="269">
        <f ca="1">SUM($J$125:J657)/SUM($H$125:H657)</f>
        <v>0.458407765033604</v>
      </c>
      <c r="J657" s="284">
        <f t="shared" si="356"/>
        <v>0.0471502182888344</v>
      </c>
      <c r="K657" s="19">
        <f t="shared" si="358"/>
        <v>54300</v>
      </c>
      <c r="L657" s="269">
        <f t="shared" si="351"/>
        <v>3.71499999999994</v>
      </c>
      <c r="M657" s="226">
        <f ca="1" t="shared" si="352"/>
        <v>1258.752</v>
      </c>
      <c r="N657" s="280">
        <f ca="1" t="shared" si="357"/>
        <v>0.0995295107609309</v>
      </c>
      <c r="O657" s="226">
        <f t="shared" si="362"/>
        <v>422.4</v>
      </c>
      <c r="P657" s="19">
        <f ca="1" t="shared" si="326"/>
        <v>20.8</v>
      </c>
      <c r="Q657" s="226">
        <f ca="1" t="shared" si="361"/>
        <v>2.98</v>
      </c>
      <c r="R657" s="269">
        <f ca="1" t="shared" si="333"/>
        <v>1.06923104948188</v>
      </c>
      <c r="S657" s="266">
        <f ca="1" t="shared" si="334"/>
        <v>100.448787686766</v>
      </c>
      <c r="T657" s="226">
        <f ca="1">(1+OFFSET('玩法产出(新)'!$C$18,MATCH(X657,'玩法产出(新)'!$B$19:$B$25,0),1)*(1-V657)+OFFSET('玩法产出(新)'!$C$18,1+MATCH(X657,'玩法产出(新)'!$B$19:$B$25,0),1)*(V657))^AA657*(1+OFFSET('玩法产出(新)'!$C$18,MATCH(X657,'玩法产出(新)'!$B$19:$B$25,0),3)*(1-V657)+OFFSET('玩法产出(新)'!$C$18,1+MATCH(X657,'玩法产出(新)'!$B$19:$B$25,0),3)*(V657))^AB657*(1+OFFSET('玩法产出(新)'!$C$18,MATCH(X657,'玩法产出(新)'!$B$19:$B$25,0),4)*(1-V657)+OFFSET('玩法产出(新)'!$C$18,1+MATCH(X657,'玩法产出(新)'!$B$19:$B$25,0),4)*(V657))^AC657*(1+OFFSET('玩法产出(新)'!$C$18,MATCH(X657,'玩法产出(新)'!$B$19:$B$25,0),5)*(1+V657)+OFFSET('玩法产出(新)'!$C$18,1+MATCH(X657,'玩法产出(新)'!$B$19:$B$25,5),1)*(V657))^AD657*(1+OFFSET('玩法产出(新)'!$C$18,MATCH(X657,'玩法产出(新)'!$B$19:$B$25,0),6)*(1+V657)+OFFSET('玩法产出(新)'!$C$18,1+MATCH(X657,'玩法产出(新)'!$B$19:$B$25,0),6)*(V657))^AE657</f>
        <v>894.468078343243</v>
      </c>
      <c r="U657" s="226">
        <f ca="1" t="shared" si="353"/>
        <v>0.184536852096109</v>
      </c>
      <c r="V657" s="226">
        <f ca="1">COUNTIF($X$124:$X657,X657)/(COUNTIF($X$124:$X$723,X657)+1)</f>
        <v>0.861855670103093</v>
      </c>
      <c r="W657" s="19">
        <v>30</v>
      </c>
      <c r="X657" s="19" t="s">
        <v>326</v>
      </c>
      <c r="Y657" s="19">
        <f t="shared" si="359"/>
        <v>54560</v>
      </c>
      <c r="Z657" s="19">
        <f ca="1" t="shared" si="335"/>
        <v>0</v>
      </c>
      <c r="AA657" s="282">
        <f ca="1" t="shared" si="336"/>
        <v>0</v>
      </c>
      <c r="AB657" s="282">
        <f ca="1" t="shared" si="337"/>
        <v>18</v>
      </c>
      <c r="AC657" s="282">
        <f ca="1" t="shared" si="338"/>
        <v>11.2644</v>
      </c>
      <c r="AD657" s="282">
        <f ca="1" t="shared" si="339"/>
        <v>2.8161</v>
      </c>
      <c r="AE657" s="282">
        <f ca="1" t="shared" si="340"/>
        <v>0.704025</v>
      </c>
      <c r="AF657" s="19" t="str">
        <f t="shared" si="341"/>
        <v>彩5</v>
      </c>
      <c r="AG657" s="19">
        <f>IFERROR(_xlfn.XLOOKUP(C657+1,[2]基因升级!$E$141:$E$500,[2]基因升级!$D$141:$D$500)-1,AG656)</f>
        <v>119</v>
      </c>
      <c r="AH657" s="19">
        <v>8</v>
      </c>
      <c r="AI657" s="19">
        <f t="shared" si="342"/>
        <v>10.5142500606751</v>
      </c>
      <c r="AJ657" s="19">
        <f t="shared" si="354"/>
        <v>0</v>
      </c>
      <c r="AK657" s="269">
        <v>2.0368</v>
      </c>
      <c r="AL657" s="287">
        <f t="shared" si="363"/>
        <v>22.9999999999997</v>
      </c>
      <c r="AM657" s="287">
        <f t="shared" ref="AM657:AM720" si="364">AL567</f>
        <v>19.3999999999998</v>
      </c>
      <c r="AN657" s="287">
        <f t="shared" si="325"/>
        <v>15.7999999999998</v>
      </c>
      <c r="AO657" s="287">
        <f t="shared" si="360"/>
        <v>12.1999999999999</v>
      </c>
      <c r="AP657" s="287">
        <f t="shared" si="324"/>
        <v>8.59999999999999</v>
      </c>
      <c r="AQ657" s="19">
        <f t="shared" si="343"/>
        <v>4.74052986297736</v>
      </c>
      <c r="AR657" s="19">
        <f t="shared" si="344"/>
        <v>3.71573973839507</v>
      </c>
      <c r="AS657" s="19">
        <f t="shared" si="345"/>
        <v>2.91248493366029</v>
      </c>
      <c r="AT657" s="19">
        <f t="shared" si="346"/>
        <v>2.2828747668054</v>
      </c>
      <c r="AU657" s="19">
        <f t="shared" si="347"/>
        <v>1.78937138547432</v>
      </c>
      <c r="AV657" s="232">
        <f t="shared" si="327"/>
        <v>0.0399999999999991</v>
      </c>
      <c r="AW657" s="232">
        <f t="shared" si="328"/>
        <v>0.0399999999999991</v>
      </c>
      <c r="AX657" s="232">
        <f t="shared" si="329"/>
        <v>0.0399999999999991</v>
      </c>
      <c r="AY657" s="232">
        <f t="shared" si="330"/>
        <v>0.0399999999999991</v>
      </c>
      <c r="AZ657" s="232">
        <f t="shared" si="331"/>
        <v>0.0399999999999991</v>
      </c>
    </row>
    <row r="658" spans="1:52">
      <c r="A658" s="269"/>
      <c r="C658" s="19">
        <v>535</v>
      </c>
      <c r="D658" s="86">
        <f ca="1" t="shared" si="355"/>
        <v>301.276275023762</v>
      </c>
      <c r="E658" s="251">
        <f ca="1" t="shared" si="332"/>
        <v>0.330618513074382</v>
      </c>
      <c r="F658" s="269">
        <f ca="1" t="shared" si="348"/>
        <v>593.279609782479</v>
      </c>
      <c r="G658" s="283">
        <f ca="1" t="shared" si="349"/>
        <v>196.149222423633</v>
      </c>
      <c r="H658" s="279">
        <f ca="1" t="shared" si="350"/>
        <v>0.145937073986318</v>
      </c>
      <c r="I658" s="269">
        <f ca="1">SUM($J$125:J658)/SUM($H$125:H658)</f>
        <v>0.458301262464208</v>
      </c>
      <c r="J658" s="284">
        <f t="shared" si="356"/>
        <v>0.0470733174425249</v>
      </c>
      <c r="K658" s="19">
        <f t="shared" si="358"/>
        <v>54400</v>
      </c>
      <c r="L658" s="269">
        <f t="shared" si="351"/>
        <v>3.71999999999994</v>
      </c>
      <c r="M658" s="226">
        <f ca="1" t="shared" si="352"/>
        <v>1267.2</v>
      </c>
      <c r="N658" s="280">
        <f ca="1" t="shared" si="357"/>
        <v>0.0988637565437926</v>
      </c>
      <c r="O658" s="226">
        <f t="shared" si="362"/>
        <v>422.4</v>
      </c>
      <c r="P658" s="19">
        <f ca="1" t="shared" si="326"/>
        <v>21</v>
      </c>
      <c r="Q658" s="226">
        <f ca="1" t="shared" si="361"/>
        <v>3</v>
      </c>
      <c r="R658" s="269">
        <f ca="1" t="shared" si="333"/>
        <v>1.07119689828388</v>
      </c>
      <c r="S658" s="266">
        <f ca="1" t="shared" si="334"/>
        <v>100.633469125854</v>
      </c>
      <c r="T658" s="226">
        <f ca="1">(1+OFFSET('玩法产出(新)'!$C$18,MATCH(X658,'玩法产出(新)'!$B$19:$B$25,0),1)*(1-V658)+OFFSET('玩法产出(新)'!$C$18,1+MATCH(X658,'玩法产出(新)'!$B$19:$B$25,0),1)*(V658))^AA658*(1+OFFSET('玩法产出(新)'!$C$18,MATCH(X658,'玩法产出(新)'!$B$19:$B$25,0),3)*(1-V658)+OFFSET('玩法产出(新)'!$C$18,1+MATCH(X658,'玩法产出(新)'!$B$19:$B$25,0),3)*(V658))^AB658*(1+OFFSET('玩法产出(新)'!$C$18,MATCH(X658,'玩法产出(新)'!$B$19:$B$25,0),4)*(1-V658)+OFFSET('玩法产出(新)'!$C$18,1+MATCH(X658,'玩法产出(新)'!$B$19:$B$25,0),4)*(V658))^AC658*(1+OFFSET('玩法产出(新)'!$C$18,MATCH(X658,'玩法产出(新)'!$B$19:$B$25,0),5)*(1+V658)+OFFSET('玩法产出(新)'!$C$18,1+MATCH(X658,'玩法产出(新)'!$B$19:$B$25,5),1)*(V658))^AD658*(1+OFFSET('玩法产出(新)'!$C$18,MATCH(X658,'玩法产出(新)'!$B$19:$B$25,0),6)*(1+V658)+OFFSET('玩法产出(新)'!$C$18,1+MATCH(X658,'玩法产出(新)'!$B$19:$B$25,0),6)*(V658))^AE658</f>
        <v>905.714841742142</v>
      </c>
      <c r="U658" s="226">
        <f ca="1" t="shared" si="353"/>
        <v>0.184681439088064</v>
      </c>
      <c r="V658" s="226">
        <f ca="1">COUNTIF($X$124:$X658,X658)/(COUNTIF($X$124:$X$723,X658)+1)</f>
        <v>0.863917525773196</v>
      </c>
      <c r="W658" s="19">
        <v>30</v>
      </c>
      <c r="X658" s="19" t="s">
        <v>326</v>
      </c>
      <c r="Y658" s="19">
        <f t="shared" si="359"/>
        <v>54660</v>
      </c>
      <c r="Z658" s="19">
        <f ca="1" t="shared" si="335"/>
        <v>0</v>
      </c>
      <c r="AA658" s="282">
        <f ca="1" t="shared" si="336"/>
        <v>0</v>
      </c>
      <c r="AB658" s="282">
        <f ca="1" t="shared" si="337"/>
        <v>18</v>
      </c>
      <c r="AC658" s="282">
        <f ca="1" t="shared" si="338"/>
        <v>11.28525</v>
      </c>
      <c r="AD658" s="282">
        <f ca="1" t="shared" si="339"/>
        <v>2.8213125</v>
      </c>
      <c r="AE658" s="282">
        <f ca="1" t="shared" si="340"/>
        <v>0.705328125</v>
      </c>
      <c r="AF658" s="19" t="str">
        <f t="shared" si="341"/>
        <v>彩5</v>
      </c>
      <c r="AG658" s="19">
        <f>IFERROR(_xlfn.XLOOKUP(C658+1,[2]基因升级!$E$141:$E$500,[2]基因升级!$D$141:$D$500)-1,AG657)</f>
        <v>119</v>
      </c>
      <c r="AH658" s="19">
        <v>8</v>
      </c>
      <c r="AI658" s="19">
        <f t="shared" si="342"/>
        <v>10.5142500606751</v>
      </c>
      <c r="AJ658" s="19">
        <f t="shared" si="354"/>
        <v>0</v>
      </c>
      <c r="AK658" s="269">
        <v>2.0368</v>
      </c>
      <c r="AL658" s="287">
        <f t="shared" si="363"/>
        <v>23.0399999999997</v>
      </c>
      <c r="AM658" s="287">
        <f t="shared" si="364"/>
        <v>19.4399999999998</v>
      </c>
      <c r="AN658" s="287">
        <f t="shared" si="325"/>
        <v>15.8399999999998</v>
      </c>
      <c r="AO658" s="287">
        <f t="shared" si="360"/>
        <v>12.2399999999999</v>
      </c>
      <c r="AP658" s="287">
        <f t="shared" si="324"/>
        <v>8.63999999999999</v>
      </c>
      <c r="AQ658" s="19">
        <f t="shared" si="343"/>
        <v>4.75337675294354</v>
      </c>
      <c r="AR658" s="19">
        <f t="shared" si="344"/>
        <v>3.725809435442</v>
      </c>
      <c r="AS658" s="19">
        <f t="shared" si="345"/>
        <v>2.92037780103006</v>
      </c>
      <c r="AT658" s="19">
        <f t="shared" si="346"/>
        <v>2.28906138344603</v>
      </c>
      <c r="AU658" s="19">
        <f t="shared" si="347"/>
        <v>1.79422060232608</v>
      </c>
      <c r="AV658" s="232">
        <f t="shared" si="327"/>
        <v>0.0399999999999991</v>
      </c>
      <c r="AW658" s="232">
        <f t="shared" si="328"/>
        <v>0.0399999999999991</v>
      </c>
      <c r="AX658" s="232">
        <f t="shared" si="329"/>
        <v>0.0399999999999991</v>
      </c>
      <c r="AY658" s="232">
        <f t="shared" si="330"/>
        <v>0.0399999999999991</v>
      </c>
      <c r="AZ658" s="232">
        <f t="shared" si="331"/>
        <v>0.0399999999999991</v>
      </c>
    </row>
    <row r="659" spans="1:52">
      <c r="A659" s="269"/>
      <c r="C659" s="19">
        <v>536</v>
      </c>
      <c r="D659" s="86">
        <f ca="1" t="shared" si="355"/>
        <v>301.606304507446</v>
      </c>
      <c r="E659" s="251">
        <f ca="1" t="shared" si="332"/>
        <v>0.330029483684261</v>
      </c>
      <c r="F659" s="269">
        <f ca="1" t="shared" si="348"/>
        <v>594.778453593339</v>
      </c>
      <c r="G659" s="283">
        <f ca="1" t="shared" si="349"/>
        <v>196.294425945932</v>
      </c>
      <c r="H659" s="279">
        <f ca="1" t="shared" si="350"/>
        <v>0.145203522299738</v>
      </c>
      <c r="I659" s="269">
        <f ca="1">SUM($J$125:J659)/SUM($H$125:H659)</f>
        <v>0.458196319523258</v>
      </c>
      <c r="J659" s="284">
        <f t="shared" si="356"/>
        <v>0.0469966726426776</v>
      </c>
      <c r="K659" s="19">
        <f t="shared" si="358"/>
        <v>54500</v>
      </c>
      <c r="L659" s="269">
        <f t="shared" si="351"/>
        <v>3.72499999999994</v>
      </c>
      <c r="M659" s="226">
        <f ca="1" t="shared" si="352"/>
        <v>1275.648</v>
      </c>
      <c r="N659" s="280">
        <f ca="1" t="shared" si="357"/>
        <v>0.0982068496570605</v>
      </c>
      <c r="O659" s="226">
        <f t="shared" si="362"/>
        <v>422.4</v>
      </c>
      <c r="P659" s="19">
        <f ca="1" t="shared" si="326"/>
        <v>21.2</v>
      </c>
      <c r="Q659" s="226">
        <f ca="1" t="shared" si="361"/>
        <v>3.02</v>
      </c>
      <c r="R659" s="269">
        <f ca="1" t="shared" si="333"/>
        <v>1.07316428545911</v>
      </c>
      <c r="S659" s="266">
        <f ca="1" t="shared" si="334"/>
        <v>100.818295087238</v>
      </c>
      <c r="T659" s="226">
        <f ca="1">(1+OFFSET('玩法产出(新)'!$C$18,MATCH(X659,'玩法产出(新)'!$B$19:$B$25,0),1)*(1-V659)+OFFSET('玩法产出(新)'!$C$18,1+MATCH(X659,'玩法产出(新)'!$B$19:$B$25,0),1)*(V659))^AA659*(1+OFFSET('玩法产出(新)'!$C$18,MATCH(X659,'玩法产出(新)'!$B$19:$B$25,0),3)*(1-V659)+OFFSET('玩法产出(新)'!$C$18,1+MATCH(X659,'玩法产出(新)'!$B$19:$B$25,0),3)*(V659))^AB659*(1+OFFSET('玩法产出(新)'!$C$18,MATCH(X659,'玩法产出(新)'!$B$19:$B$25,0),4)*(1-V659)+OFFSET('玩法产出(新)'!$C$18,1+MATCH(X659,'玩法产出(新)'!$B$19:$B$25,0),4)*(V659))^AC659*(1+OFFSET('玩法产出(新)'!$C$18,MATCH(X659,'玩法产出(新)'!$B$19:$B$25,0),5)*(1+V659)+OFFSET('玩法产出(新)'!$C$18,1+MATCH(X659,'玩法产出(新)'!$B$19:$B$25,5),1)*(V659))^AD659*(1+OFFSET('玩法产出(新)'!$C$18,MATCH(X659,'玩法产出(新)'!$B$19:$B$25,0),6)*(1+V659)+OFFSET('玩法产出(新)'!$C$18,1+MATCH(X659,'玩法产出(新)'!$B$19:$B$25,0),6)*(V659))^AE659</f>
        <v>917.111986091008</v>
      </c>
      <c r="U659" s="226">
        <f ca="1" t="shared" si="353"/>
        <v>0.184825961384522</v>
      </c>
      <c r="V659" s="226">
        <f ca="1">COUNTIF($X$124:$X659,X659)/(COUNTIF($X$124:$X$723,X659)+1)</f>
        <v>0.865979381443299</v>
      </c>
      <c r="W659" s="19">
        <v>30</v>
      </c>
      <c r="X659" s="19" t="s">
        <v>326</v>
      </c>
      <c r="Y659" s="19">
        <f t="shared" si="359"/>
        <v>54760</v>
      </c>
      <c r="Z659" s="19">
        <f ca="1" t="shared" si="335"/>
        <v>0</v>
      </c>
      <c r="AA659" s="282">
        <f ca="1" t="shared" si="336"/>
        <v>0</v>
      </c>
      <c r="AB659" s="282">
        <f ca="1" t="shared" si="337"/>
        <v>18</v>
      </c>
      <c r="AC659" s="282">
        <f ca="1" t="shared" si="338"/>
        <v>11.3061</v>
      </c>
      <c r="AD659" s="282">
        <f ca="1" t="shared" si="339"/>
        <v>2.826525</v>
      </c>
      <c r="AE659" s="282">
        <f ca="1" t="shared" si="340"/>
        <v>0.70663125</v>
      </c>
      <c r="AF659" s="19" t="str">
        <f t="shared" si="341"/>
        <v>彩5</v>
      </c>
      <c r="AG659" s="19">
        <f>IFERROR(_xlfn.XLOOKUP(C659+1,[2]基因升级!$E$141:$E$500,[2]基因升级!$D$141:$D$500)-1,AG658)</f>
        <v>119</v>
      </c>
      <c r="AH659" s="19">
        <v>8</v>
      </c>
      <c r="AI659" s="19">
        <f t="shared" si="342"/>
        <v>10.5142500606751</v>
      </c>
      <c r="AJ659" s="19">
        <f t="shared" si="354"/>
        <v>0</v>
      </c>
      <c r="AK659" s="269">
        <v>2.0368</v>
      </c>
      <c r="AL659" s="287">
        <f t="shared" si="363"/>
        <v>23.0799999999997</v>
      </c>
      <c r="AM659" s="287">
        <f t="shared" si="364"/>
        <v>19.4799999999998</v>
      </c>
      <c r="AN659" s="287">
        <f t="shared" si="325"/>
        <v>15.8799999999998</v>
      </c>
      <c r="AO659" s="287">
        <f t="shared" si="360"/>
        <v>12.2799999999999</v>
      </c>
      <c r="AP659" s="287">
        <f t="shared" si="324"/>
        <v>8.67999999999999</v>
      </c>
      <c r="AQ659" s="19">
        <f t="shared" si="343"/>
        <v>4.76625845812797</v>
      </c>
      <c r="AR659" s="19">
        <f t="shared" si="344"/>
        <v>3.73590642148272</v>
      </c>
      <c r="AS659" s="19">
        <f t="shared" si="345"/>
        <v>2.92829205816036</v>
      </c>
      <c r="AT659" s="19">
        <f t="shared" si="346"/>
        <v>2.29526476588828</v>
      </c>
      <c r="AU659" s="19">
        <f t="shared" si="347"/>
        <v>1.79908296061078</v>
      </c>
      <c r="AV659" s="232">
        <f t="shared" si="327"/>
        <v>0.0399999999999991</v>
      </c>
      <c r="AW659" s="232">
        <f t="shared" si="328"/>
        <v>0.0399999999999991</v>
      </c>
      <c r="AX659" s="232">
        <f t="shared" si="329"/>
        <v>0.0399999999999991</v>
      </c>
      <c r="AY659" s="232">
        <f t="shared" si="330"/>
        <v>0.0399999999999991</v>
      </c>
      <c r="AZ659" s="232">
        <f t="shared" si="331"/>
        <v>0.0399999999999991</v>
      </c>
    </row>
    <row r="660" spans="1:52">
      <c r="A660" s="269"/>
      <c r="C660" s="19">
        <v>537</v>
      </c>
      <c r="D660" s="86">
        <f ca="1" t="shared" si="355"/>
        <v>301.935753823993</v>
      </c>
      <c r="E660" s="251">
        <f ca="1" t="shared" si="332"/>
        <v>0.329449316547219</v>
      </c>
      <c r="F660" s="269">
        <f ca="1" t="shared" si="348"/>
        <v>596.264417550456</v>
      </c>
      <c r="G660" s="283">
        <f ca="1" t="shared" si="349"/>
        <v>196.438904843423</v>
      </c>
      <c r="H660" s="279">
        <f ca="1" t="shared" si="350"/>
        <v>0.144478897490814</v>
      </c>
      <c r="I660" s="269">
        <f ca="1">SUM($J$125:J660)/SUM($H$125:H660)</f>
        <v>0.458092910760435</v>
      </c>
      <c r="J660" s="284">
        <f t="shared" si="356"/>
        <v>0.0469202825872372</v>
      </c>
      <c r="K660" s="19">
        <f t="shared" si="358"/>
        <v>54600</v>
      </c>
      <c r="L660" s="269">
        <f t="shared" si="351"/>
        <v>3.72999999999994</v>
      </c>
      <c r="M660" s="226">
        <f ca="1" t="shared" si="352"/>
        <v>1284.096</v>
      </c>
      <c r="N660" s="280">
        <f ca="1" t="shared" si="357"/>
        <v>0.0975586149035479</v>
      </c>
      <c r="O660" s="226">
        <f t="shared" si="362"/>
        <v>422.4</v>
      </c>
      <c r="P660" s="19">
        <f ca="1" t="shared" si="326"/>
        <v>21.4</v>
      </c>
      <c r="Q660" s="226">
        <f ca="1" t="shared" si="361"/>
        <v>3.04</v>
      </c>
      <c r="R660" s="269">
        <f ca="1" t="shared" si="333"/>
        <v>1.07513321031968</v>
      </c>
      <c r="S660" s="266">
        <f ca="1" t="shared" si="334"/>
        <v>101.003265506295</v>
      </c>
      <c r="T660" s="226">
        <f ca="1">(1+OFFSET('玩法产出(新)'!$C$18,MATCH(X660,'玩法产出(新)'!$B$19:$B$25,0),1)*(1-V660)+OFFSET('玩法产出(新)'!$C$18,1+MATCH(X660,'玩法产出(新)'!$B$19:$B$25,0),1)*(V660))^AA660*(1+OFFSET('玩法产出(新)'!$C$18,MATCH(X660,'玩法产出(新)'!$B$19:$B$25,0),3)*(1-V660)+OFFSET('玩法产出(新)'!$C$18,1+MATCH(X660,'玩法产出(新)'!$B$19:$B$25,0),3)*(V660))^AB660*(1+OFFSET('玩法产出(新)'!$C$18,MATCH(X660,'玩法产出(新)'!$B$19:$B$25,0),4)*(1-V660)+OFFSET('玩法产出(新)'!$C$18,1+MATCH(X660,'玩法产出(新)'!$B$19:$B$25,0),4)*(V660))^AC660*(1+OFFSET('玩法产出(新)'!$C$18,MATCH(X660,'玩法产出(新)'!$B$19:$B$25,0),5)*(1+V660)+OFFSET('玩法产出(新)'!$C$18,1+MATCH(X660,'玩法产出(新)'!$B$19:$B$25,5),1)*(V660))^AD660*(1+OFFSET('玩法产出(新)'!$C$18,MATCH(X660,'玩法产出(新)'!$B$19:$B$25,0),6)*(1+V660)+OFFSET('玩法产出(新)'!$C$18,1+MATCH(X660,'玩法产出(新)'!$B$19:$B$25,0),6)*(V660))^AE660</f>
        <v>928.66162395178</v>
      </c>
      <c r="U660" s="226">
        <f ca="1" t="shared" si="353"/>
        <v>0.184970419056434</v>
      </c>
      <c r="V660" s="226">
        <f ca="1">COUNTIF($X$124:$X660,X660)/(COUNTIF($X$124:$X$723,X660)+1)</f>
        <v>0.868041237113402</v>
      </c>
      <c r="W660" s="19">
        <v>30</v>
      </c>
      <c r="X660" s="19" t="s">
        <v>326</v>
      </c>
      <c r="Y660" s="19">
        <f t="shared" si="359"/>
        <v>54860</v>
      </c>
      <c r="Z660" s="19">
        <f ca="1" t="shared" si="335"/>
        <v>0</v>
      </c>
      <c r="AA660" s="282">
        <f ca="1" t="shared" si="336"/>
        <v>0</v>
      </c>
      <c r="AB660" s="282">
        <f ca="1" t="shared" si="337"/>
        <v>18</v>
      </c>
      <c r="AC660" s="282">
        <f ca="1" t="shared" si="338"/>
        <v>11.32695</v>
      </c>
      <c r="AD660" s="282">
        <f ca="1" t="shared" si="339"/>
        <v>2.8317375</v>
      </c>
      <c r="AE660" s="282">
        <f ca="1" t="shared" si="340"/>
        <v>0.707934375</v>
      </c>
      <c r="AF660" s="19" t="str">
        <f t="shared" si="341"/>
        <v>彩5</v>
      </c>
      <c r="AG660" s="19">
        <f>IFERROR(_xlfn.XLOOKUP(C660+1,[2]基因升级!$E$141:$E$500,[2]基因升级!$D$141:$D$500)-1,AG659)</f>
        <v>119</v>
      </c>
      <c r="AH660" s="19">
        <v>8</v>
      </c>
      <c r="AI660" s="19">
        <f t="shared" si="342"/>
        <v>10.5142500606751</v>
      </c>
      <c r="AJ660" s="19">
        <f t="shared" si="354"/>
        <v>0</v>
      </c>
      <c r="AK660" s="269">
        <v>2.0368</v>
      </c>
      <c r="AL660" s="287">
        <f t="shared" si="363"/>
        <v>23.1199999999997</v>
      </c>
      <c r="AM660" s="287">
        <f t="shared" si="364"/>
        <v>19.5199999999998</v>
      </c>
      <c r="AN660" s="287">
        <f t="shared" si="325"/>
        <v>15.9199999999998</v>
      </c>
      <c r="AO660" s="287">
        <f t="shared" si="360"/>
        <v>12.3199999999999</v>
      </c>
      <c r="AP660" s="287">
        <f t="shared" si="324"/>
        <v>8.71999999999998</v>
      </c>
      <c r="AQ660" s="19">
        <f t="shared" si="343"/>
        <v>4.7791750728803</v>
      </c>
      <c r="AR660" s="19">
        <f t="shared" si="344"/>
        <v>3.7460307704707</v>
      </c>
      <c r="AS660" s="19">
        <f t="shared" si="345"/>
        <v>2.93622776301771</v>
      </c>
      <c r="AT660" s="19">
        <f t="shared" si="346"/>
        <v>2.30148495956767</v>
      </c>
      <c r="AU660" s="19">
        <f t="shared" si="347"/>
        <v>1.80395849594187</v>
      </c>
      <c r="AV660" s="232">
        <f t="shared" si="327"/>
        <v>0.0399999999999991</v>
      </c>
      <c r="AW660" s="232">
        <f t="shared" si="328"/>
        <v>0.0399999999999991</v>
      </c>
      <c r="AX660" s="232">
        <f t="shared" si="329"/>
        <v>0.0399999999999991</v>
      </c>
      <c r="AY660" s="232">
        <f t="shared" si="330"/>
        <v>0.0399999999999991</v>
      </c>
      <c r="AZ660" s="232">
        <f t="shared" si="331"/>
        <v>0.0399999999999991</v>
      </c>
    </row>
    <row r="661" spans="1:52">
      <c r="A661" s="269"/>
      <c r="C661" s="19">
        <v>538</v>
      </c>
      <c r="D661" s="86">
        <f ca="1" t="shared" si="355"/>
        <v>302.264631663833</v>
      </c>
      <c r="E661" s="251">
        <f ca="1" t="shared" si="332"/>
        <v>0.328877839839361</v>
      </c>
      <c r="F661" s="269">
        <f ca="1" t="shared" si="348"/>
        <v>597.737652275714</v>
      </c>
      <c r="G661" s="283">
        <f ca="1" t="shared" si="349"/>
        <v>196.582667871088</v>
      </c>
      <c r="H661" s="279">
        <f ca="1" t="shared" si="350"/>
        <v>0.143763027664619</v>
      </c>
      <c r="I661" s="269">
        <f ca="1">SUM($J$125:J661)/SUM($H$125:H661)</f>
        <v>0.457991011275149</v>
      </c>
      <c r="J661" s="284">
        <f t="shared" si="356"/>
        <v>0.0468441459832007</v>
      </c>
      <c r="K661" s="19">
        <f t="shared" si="358"/>
        <v>54700</v>
      </c>
      <c r="L661" s="269">
        <f t="shared" si="351"/>
        <v>3.73499999999994</v>
      </c>
      <c r="M661" s="226">
        <f ca="1" t="shared" si="352"/>
        <v>1292.544</v>
      </c>
      <c r="N661" s="280">
        <f ca="1" t="shared" si="357"/>
        <v>0.0969188816814324</v>
      </c>
      <c r="O661" s="226">
        <f t="shared" si="362"/>
        <v>422.4</v>
      </c>
      <c r="P661" s="19">
        <f ca="1" t="shared" si="326"/>
        <v>21.6</v>
      </c>
      <c r="Q661" s="226">
        <f ca="1" t="shared" si="361"/>
        <v>3.06</v>
      </c>
      <c r="R661" s="269">
        <f ca="1" t="shared" si="333"/>
        <v>1.07710367217845</v>
      </c>
      <c r="S661" s="266">
        <f ca="1" t="shared" si="334"/>
        <v>101.18838031847</v>
      </c>
      <c r="T661" s="226">
        <f ca="1">(1+OFFSET('玩法产出(新)'!$C$18,MATCH(X661,'玩法产出(新)'!$B$19:$B$25,0),1)*(1-V661)+OFFSET('玩法产出(新)'!$C$18,1+MATCH(X661,'玩法产出(新)'!$B$19:$B$25,0),1)*(V661))^AA661*(1+OFFSET('玩法产出(新)'!$C$18,MATCH(X661,'玩法产出(新)'!$B$19:$B$25,0),3)*(1-V661)+OFFSET('玩法产出(新)'!$C$18,1+MATCH(X661,'玩法产出(新)'!$B$19:$B$25,0),3)*(V661))^AB661*(1+OFFSET('玩法产出(新)'!$C$18,MATCH(X661,'玩法产出(新)'!$B$19:$B$25,0),4)*(1-V661)+OFFSET('玩法产出(新)'!$C$18,1+MATCH(X661,'玩法产出(新)'!$B$19:$B$25,0),4)*(V661))^AC661*(1+OFFSET('玩法产出(新)'!$C$18,MATCH(X661,'玩法产出(新)'!$B$19:$B$25,0),5)*(1+V661)+OFFSET('玩法产出(新)'!$C$18,1+MATCH(X661,'玩法产出(新)'!$B$19:$B$25,5),1)*(V661))^AD661*(1+OFFSET('玩法产出(新)'!$C$18,MATCH(X661,'玩法产出(新)'!$B$19:$B$25,0),6)*(1+V661)+OFFSET('玩法产出(新)'!$C$18,1+MATCH(X661,'玩法产出(新)'!$B$19:$B$25,0),6)*(V661))^AE661</f>
        <v>940.365898833025</v>
      </c>
      <c r="U661" s="226">
        <f ca="1" t="shared" si="353"/>
        <v>0.185114812174728</v>
      </c>
      <c r="V661" s="226">
        <f ca="1">COUNTIF($X$124:$X661,X661)/(COUNTIF($X$124:$X$723,X661)+1)</f>
        <v>0.870103092783505</v>
      </c>
      <c r="W661" s="19">
        <v>30</v>
      </c>
      <c r="X661" s="19" t="s">
        <v>326</v>
      </c>
      <c r="Y661" s="19">
        <f t="shared" si="359"/>
        <v>54960</v>
      </c>
      <c r="Z661" s="19">
        <f ca="1" t="shared" si="335"/>
        <v>0</v>
      </c>
      <c r="AA661" s="282">
        <f ca="1" t="shared" si="336"/>
        <v>0</v>
      </c>
      <c r="AB661" s="282">
        <f ca="1" t="shared" si="337"/>
        <v>18</v>
      </c>
      <c r="AC661" s="282">
        <f ca="1" t="shared" si="338"/>
        <v>11.3478</v>
      </c>
      <c r="AD661" s="282">
        <f ca="1" t="shared" si="339"/>
        <v>2.83695</v>
      </c>
      <c r="AE661" s="282">
        <f ca="1" t="shared" si="340"/>
        <v>0.7092375</v>
      </c>
      <c r="AF661" s="19" t="str">
        <f t="shared" si="341"/>
        <v>彩5</v>
      </c>
      <c r="AG661" s="19">
        <f>IFERROR(_xlfn.XLOOKUP(C661+1,[2]基因升级!$E$141:$E$500,[2]基因升级!$D$141:$D$500)-1,AG660)</f>
        <v>119</v>
      </c>
      <c r="AH661" s="19">
        <v>8</v>
      </c>
      <c r="AI661" s="19">
        <f t="shared" si="342"/>
        <v>10.5142500606751</v>
      </c>
      <c r="AJ661" s="19">
        <f t="shared" si="354"/>
        <v>0</v>
      </c>
      <c r="AK661" s="269">
        <v>2.0368</v>
      </c>
      <c r="AL661" s="287">
        <f t="shared" si="363"/>
        <v>23.1599999999997</v>
      </c>
      <c r="AM661" s="287">
        <f t="shared" si="364"/>
        <v>19.5599999999998</v>
      </c>
      <c r="AN661" s="287">
        <f t="shared" si="325"/>
        <v>15.9599999999998</v>
      </c>
      <c r="AO661" s="287">
        <f t="shared" si="360"/>
        <v>12.3599999999999</v>
      </c>
      <c r="AP661" s="287">
        <f t="shared" si="324"/>
        <v>8.75999999999998</v>
      </c>
      <c r="AQ661" s="19">
        <f t="shared" si="343"/>
        <v>4.79212669180583</v>
      </c>
      <c r="AR661" s="19">
        <f t="shared" si="344"/>
        <v>3.75618255655985</v>
      </c>
      <c r="AS661" s="19">
        <f t="shared" si="345"/>
        <v>2.94418497372568</v>
      </c>
      <c r="AT661" s="19">
        <f t="shared" si="346"/>
        <v>2.30772201004283</v>
      </c>
      <c r="AU661" s="19">
        <f t="shared" si="347"/>
        <v>1.80884724402927</v>
      </c>
      <c r="AV661" s="232">
        <f t="shared" si="327"/>
        <v>0.0399999999999991</v>
      </c>
      <c r="AW661" s="232">
        <f t="shared" si="328"/>
        <v>0.0399999999999991</v>
      </c>
      <c r="AX661" s="232">
        <f t="shared" si="329"/>
        <v>0.0399999999999991</v>
      </c>
      <c r="AY661" s="232">
        <f t="shared" si="330"/>
        <v>0.0399999999999991</v>
      </c>
      <c r="AZ661" s="232">
        <f t="shared" si="331"/>
        <v>0.0399999999999991</v>
      </c>
    </row>
    <row r="662" spans="1:52">
      <c r="A662" s="269"/>
      <c r="C662" s="19">
        <v>539</v>
      </c>
      <c r="D662" s="86">
        <f ca="1" t="shared" si="355"/>
        <v>302.592946550024</v>
      </c>
      <c r="E662" s="251">
        <f ca="1" t="shared" si="332"/>
        <v>0.328314886191033</v>
      </c>
      <c r="F662" s="269">
        <f ca="1" t="shared" si="348"/>
        <v>599.198305927566</v>
      </c>
      <c r="G662" s="283">
        <f ca="1" t="shared" si="349"/>
        <v>196.725723616469</v>
      </c>
      <c r="H662" s="279">
        <f ca="1" t="shared" si="350"/>
        <v>0.143055745380906</v>
      </c>
      <c r="I662" s="269">
        <f ca="1">SUM($J$125:J662)/SUM($H$125:H662)</f>
        <v>0.457890596701376</v>
      </c>
      <c r="J662" s="284">
        <f t="shared" si="356"/>
        <v>0.046768261546319</v>
      </c>
      <c r="K662" s="19">
        <f t="shared" si="358"/>
        <v>54800</v>
      </c>
      <c r="L662" s="269">
        <f t="shared" si="351"/>
        <v>3.73999999999994</v>
      </c>
      <c r="M662" s="226">
        <f ca="1" t="shared" si="352"/>
        <v>1300.992</v>
      </c>
      <c r="N662" s="280">
        <f ca="1" t="shared" si="357"/>
        <v>0.0962874838346153</v>
      </c>
      <c r="O662" s="226">
        <f t="shared" si="362"/>
        <v>422.4</v>
      </c>
      <c r="P662" s="19">
        <f ca="1" t="shared" si="326"/>
        <v>21.8</v>
      </c>
      <c r="Q662" s="226">
        <f ca="1" t="shared" si="361"/>
        <v>3.08</v>
      </c>
      <c r="R662" s="269">
        <f ca="1" t="shared" si="333"/>
        <v>1.07907567034902</v>
      </c>
      <c r="S662" s="266">
        <f ca="1" t="shared" si="334"/>
        <v>101.37363945928</v>
      </c>
      <c r="T662" s="226">
        <f ca="1">(1+OFFSET('玩法产出(新)'!$C$18,MATCH(X662,'玩法产出(新)'!$B$19:$B$25,0),1)*(1-V662)+OFFSET('玩法产出(新)'!$C$18,1+MATCH(X662,'玩法产出(新)'!$B$19:$B$25,0),1)*(V662))^AA662*(1+OFFSET('玩法产出(新)'!$C$18,MATCH(X662,'玩法产出(新)'!$B$19:$B$25,0),3)*(1-V662)+OFFSET('玩法产出(新)'!$C$18,1+MATCH(X662,'玩法产出(新)'!$B$19:$B$25,0),3)*(V662))^AB662*(1+OFFSET('玩法产出(新)'!$C$18,MATCH(X662,'玩法产出(新)'!$B$19:$B$25,0),4)*(1-V662)+OFFSET('玩法产出(新)'!$C$18,1+MATCH(X662,'玩法产出(新)'!$B$19:$B$25,0),4)*(V662))^AC662*(1+OFFSET('玩法产出(新)'!$C$18,MATCH(X662,'玩法产出(新)'!$B$19:$B$25,0),5)*(1+V662)+OFFSET('玩法产出(新)'!$C$18,1+MATCH(X662,'玩法产出(新)'!$B$19:$B$25,5),1)*(V662))^AD662*(1+OFFSET('玩法产出(新)'!$C$18,MATCH(X662,'玩法产出(新)'!$B$19:$B$25,0),6)*(1+V662)+OFFSET('玩法产出(新)'!$C$18,1+MATCH(X662,'玩法产出(新)'!$B$19:$B$25,0),6)*(V662))^AE662</f>
        <v>952.226985660144</v>
      </c>
      <c r="U662" s="226">
        <f ca="1" t="shared" si="353"/>
        <v>0.185259140810099</v>
      </c>
      <c r="V662" s="226">
        <f ca="1">COUNTIF($X$124:$X662,X662)/(COUNTIF($X$124:$X$723,X662)+1)</f>
        <v>0.872164948453608</v>
      </c>
      <c r="W662" s="19">
        <v>30</v>
      </c>
      <c r="X662" s="19" t="s">
        <v>326</v>
      </c>
      <c r="Y662" s="19">
        <f t="shared" si="359"/>
        <v>55060</v>
      </c>
      <c r="Z662" s="19">
        <f ca="1" t="shared" si="335"/>
        <v>0</v>
      </c>
      <c r="AA662" s="282">
        <f ca="1" t="shared" si="336"/>
        <v>0</v>
      </c>
      <c r="AB662" s="282">
        <f ca="1" t="shared" si="337"/>
        <v>18</v>
      </c>
      <c r="AC662" s="282">
        <f ca="1" t="shared" si="338"/>
        <v>11.36865</v>
      </c>
      <c r="AD662" s="282">
        <f ca="1" t="shared" si="339"/>
        <v>2.8421625</v>
      </c>
      <c r="AE662" s="282">
        <f ca="1" t="shared" si="340"/>
        <v>0.710540625</v>
      </c>
      <c r="AF662" s="19" t="str">
        <f t="shared" si="341"/>
        <v>彩5</v>
      </c>
      <c r="AG662" s="19">
        <f>IFERROR(_xlfn.XLOOKUP(C662+1,[2]基因升级!$E$141:$E$500,[2]基因升级!$D$141:$D$500)-1,AG661)</f>
        <v>119</v>
      </c>
      <c r="AH662" s="19">
        <v>8</v>
      </c>
      <c r="AI662" s="19">
        <f t="shared" si="342"/>
        <v>10.5142500606751</v>
      </c>
      <c r="AJ662" s="19">
        <f t="shared" si="354"/>
        <v>0</v>
      </c>
      <c r="AK662" s="269">
        <v>2.0368</v>
      </c>
      <c r="AL662" s="287">
        <f t="shared" si="363"/>
        <v>23.1999999999997</v>
      </c>
      <c r="AM662" s="287">
        <f t="shared" si="364"/>
        <v>19.5999999999998</v>
      </c>
      <c r="AN662" s="287">
        <f t="shared" si="325"/>
        <v>15.9999999999998</v>
      </c>
      <c r="AO662" s="287">
        <f t="shared" si="360"/>
        <v>12.3999999999999</v>
      </c>
      <c r="AP662" s="287">
        <f t="shared" si="324"/>
        <v>8.79999999999998</v>
      </c>
      <c r="AQ662" s="19">
        <f t="shared" si="343"/>
        <v>4.80511340976629</v>
      </c>
      <c r="AR662" s="19">
        <f t="shared" si="344"/>
        <v>3.76636185410502</v>
      </c>
      <c r="AS662" s="19">
        <f t="shared" si="345"/>
        <v>2.95216374856538</v>
      </c>
      <c r="AT662" s="19">
        <f t="shared" si="346"/>
        <v>2.31397596299587</v>
      </c>
      <c r="AU662" s="19">
        <f t="shared" si="347"/>
        <v>1.81374924067972</v>
      </c>
      <c r="AV662" s="232">
        <f t="shared" si="327"/>
        <v>0.0399999999999991</v>
      </c>
      <c r="AW662" s="232">
        <f t="shared" si="328"/>
        <v>0.0399999999999991</v>
      </c>
      <c r="AX662" s="232">
        <f t="shared" si="329"/>
        <v>0.0399999999999991</v>
      </c>
      <c r="AY662" s="232">
        <f t="shared" si="330"/>
        <v>0.0399999999999991</v>
      </c>
      <c r="AZ662" s="232">
        <f t="shared" si="331"/>
        <v>0.0399999999999991</v>
      </c>
    </row>
    <row r="663" spans="1:52">
      <c r="A663" s="269"/>
      <c r="C663" s="19">
        <v>540</v>
      </c>
      <c r="D663" s="86">
        <f ca="1" t="shared" si="355"/>
        <v>305.929914975361</v>
      </c>
      <c r="E663" s="251">
        <f ca="1" t="shared" si="332"/>
        <v>3.33696842533714</v>
      </c>
      <c r="F663" s="269">
        <f ca="1" t="shared" si="348"/>
        <v>59.8978663145663</v>
      </c>
      <c r="G663" s="283">
        <f ca="1" t="shared" si="349"/>
        <v>199.877288636773</v>
      </c>
      <c r="H663" s="279">
        <f ca="1" t="shared" si="350"/>
        <v>3.15156502030396</v>
      </c>
      <c r="I663" s="269">
        <f ca="1">SUM($J$125:J663)/SUM($H$125:H663)</f>
        <v>0.450536482000696</v>
      </c>
      <c r="J663" s="284">
        <f t="shared" si="356"/>
        <v>0.0466926280012814</v>
      </c>
      <c r="K663" s="19">
        <f t="shared" si="358"/>
        <v>54900</v>
      </c>
      <c r="L663" s="269">
        <f t="shared" si="351"/>
        <v>3.74499999999994</v>
      </c>
      <c r="M663" s="226">
        <f ca="1" t="shared" si="352"/>
        <v>1605.12</v>
      </c>
      <c r="N663" s="280">
        <f ca="1" t="shared" si="357"/>
        <v>3.10487239230265</v>
      </c>
      <c r="O663" s="226">
        <f t="shared" si="362"/>
        <v>844.8</v>
      </c>
      <c r="P663" s="19">
        <f ca="1" t="shared" si="326"/>
        <v>10</v>
      </c>
      <c r="Q663" s="226">
        <f ca="1" t="shared" si="361"/>
        <v>1.9</v>
      </c>
      <c r="R663" s="269">
        <f ca="1" t="shared" si="333"/>
        <v>1.08104920414576</v>
      </c>
      <c r="S663" s="266">
        <f ca="1" t="shared" si="334"/>
        <v>101.559042864313</v>
      </c>
      <c r="T663" s="226">
        <f ca="1">(1+OFFSET('玩法产出(新)'!$C$18,MATCH(X663,'玩法产出(新)'!$B$19:$B$25,0),1)*(1-V663)+OFFSET('玩法产出(新)'!$C$18,1+MATCH(X663,'玩法产出(新)'!$B$19:$B$25,0),1)*(V663))^AA663*(1+OFFSET('玩法产出(新)'!$C$18,MATCH(X663,'玩法产出(新)'!$B$19:$B$25,0),3)*(1-V663)+OFFSET('玩法产出(新)'!$C$18,1+MATCH(X663,'玩法产出(新)'!$B$19:$B$25,0),3)*(V663))^AB663*(1+OFFSET('玩法产出(新)'!$C$18,MATCH(X663,'玩法产出(新)'!$B$19:$B$25,0),4)*(1-V663)+OFFSET('玩法产出(新)'!$C$18,1+MATCH(X663,'玩法产出(新)'!$B$19:$B$25,0),4)*(V663))^AC663*(1+OFFSET('玩法产出(新)'!$C$18,MATCH(X663,'玩法产出(新)'!$B$19:$B$25,0),5)*(1+V663)+OFFSET('玩法产出(新)'!$C$18,1+MATCH(X663,'玩法产出(新)'!$B$19:$B$25,5),1)*(V663))^AD663*(1+OFFSET('玩法产出(新)'!$C$18,MATCH(X663,'玩法产出(新)'!$B$19:$B$25,0),6)*(1+V663)+OFFSET('玩法产出(新)'!$C$18,1+MATCH(X663,'玩法产出(新)'!$B$19:$B$25,0),6)*(V663))^AE663</f>
        <v>964.247091252953</v>
      </c>
      <c r="U663" s="226">
        <f ca="1" t="shared" si="353"/>
        <v>0.185403405033204</v>
      </c>
      <c r="V663" s="226">
        <f ca="1">COUNTIF($X$124:$X663,X663)/(COUNTIF($X$124:$X$723,X663)+1)</f>
        <v>0.874226804123711</v>
      </c>
      <c r="W663" s="19">
        <v>30</v>
      </c>
      <c r="X663" s="19" t="s">
        <v>326</v>
      </c>
      <c r="Y663" s="19">
        <f t="shared" si="359"/>
        <v>55160</v>
      </c>
      <c r="Z663" s="19">
        <f ca="1" t="shared" si="335"/>
        <v>0</v>
      </c>
      <c r="AA663" s="282">
        <f ca="1" t="shared" si="336"/>
        <v>0</v>
      </c>
      <c r="AB663" s="282">
        <f ca="1" t="shared" si="337"/>
        <v>18</v>
      </c>
      <c r="AC663" s="282">
        <f ca="1" t="shared" si="338"/>
        <v>11.3895</v>
      </c>
      <c r="AD663" s="282">
        <f ca="1" t="shared" si="339"/>
        <v>2.847375</v>
      </c>
      <c r="AE663" s="282">
        <f ca="1" t="shared" si="340"/>
        <v>0.71184375</v>
      </c>
      <c r="AF663" s="19" t="str">
        <f t="shared" si="341"/>
        <v>彩6</v>
      </c>
      <c r="AG663" s="19">
        <f>IFERROR(_xlfn.XLOOKUP(C663+1,[2]基因升级!$E$141:$E$500,[2]基因升级!$D$141:$D$500)-1,AG662)</f>
        <v>119</v>
      </c>
      <c r="AH663" s="19">
        <v>8</v>
      </c>
      <c r="AI663" s="19">
        <f t="shared" si="342"/>
        <v>10.5142500606751</v>
      </c>
      <c r="AJ663" s="19">
        <f t="shared" si="354"/>
        <v>0</v>
      </c>
      <c r="AK663" s="269">
        <v>2.0368</v>
      </c>
      <c r="AL663" s="287">
        <f t="shared" si="363"/>
        <v>23.2399999999997</v>
      </c>
      <c r="AM663" s="287">
        <f t="shared" si="364"/>
        <v>19.6399999999998</v>
      </c>
      <c r="AN663" s="287">
        <f t="shared" si="325"/>
        <v>16.0399999999998</v>
      </c>
      <c r="AO663" s="287">
        <f t="shared" si="360"/>
        <v>12.4399999999999</v>
      </c>
      <c r="AP663" s="287">
        <f t="shared" si="324"/>
        <v>8.83999999999998</v>
      </c>
      <c r="AQ663" s="19">
        <f t="shared" si="343"/>
        <v>4.81813532188046</v>
      </c>
      <c r="AR663" s="19">
        <f t="shared" si="344"/>
        <v>3.77656873766257</v>
      </c>
      <c r="AS663" s="19">
        <f t="shared" si="345"/>
        <v>2.96016414597584</v>
      </c>
      <c r="AT663" s="19">
        <f t="shared" si="346"/>
        <v>2.3202468642327</v>
      </c>
      <c r="AU663" s="19">
        <f t="shared" si="347"/>
        <v>1.81866452179697</v>
      </c>
      <c r="AV663" s="232">
        <f t="shared" si="327"/>
        <v>0.0399999999999991</v>
      </c>
      <c r="AW663" s="232">
        <f t="shared" si="328"/>
        <v>0.0399999999999991</v>
      </c>
      <c r="AX663" s="232">
        <f t="shared" si="329"/>
        <v>0.0399999999999991</v>
      </c>
      <c r="AY663" s="232">
        <f t="shared" si="330"/>
        <v>0.0399999999999991</v>
      </c>
      <c r="AZ663" s="232">
        <f t="shared" si="331"/>
        <v>0.0399999999999991</v>
      </c>
    </row>
    <row r="664" spans="1:52">
      <c r="A664" s="269"/>
      <c r="C664" s="19">
        <v>541</v>
      </c>
      <c r="D664" s="86">
        <f ca="1" t="shared" si="355"/>
        <v>306.316846437399</v>
      </c>
      <c r="E664" s="251">
        <f ca="1" t="shared" si="332"/>
        <v>0.386931462038009</v>
      </c>
      <c r="F664" s="269">
        <f ca="1" t="shared" si="348"/>
        <v>517.090730849491</v>
      </c>
      <c r="G664" s="283">
        <f ca="1" t="shared" si="349"/>
        <v>200.078672493896</v>
      </c>
      <c r="H664" s="279">
        <f ca="1" t="shared" si="350"/>
        <v>0.20138385712346</v>
      </c>
      <c r="I664" s="269">
        <f ca="1">SUM($J$125:J664)/SUM($H$125:H664)</f>
        <v>0.450304401621241</v>
      </c>
      <c r="J664" s="284">
        <f t="shared" si="356"/>
        <v>0.0466172440814177</v>
      </c>
      <c r="K664" s="19">
        <f t="shared" si="358"/>
        <v>55000</v>
      </c>
      <c r="L664" s="269">
        <f t="shared" si="351"/>
        <v>3.74999999999994</v>
      </c>
      <c r="M664" s="226">
        <f ca="1" t="shared" si="352"/>
        <v>1622.016</v>
      </c>
      <c r="N664" s="280">
        <f ca="1" t="shared" si="357"/>
        <v>0.154766613042057</v>
      </c>
      <c r="O664" s="226">
        <f t="shared" si="362"/>
        <v>844.8</v>
      </c>
      <c r="P664" s="19">
        <f ca="1" t="shared" si="326"/>
        <v>10.2</v>
      </c>
      <c r="Q664" s="226">
        <f ca="1" t="shared" si="361"/>
        <v>1.92</v>
      </c>
      <c r="R664" s="269">
        <f ca="1" t="shared" si="333"/>
        <v>1.08302427288378</v>
      </c>
      <c r="S664" s="266">
        <f ca="1" t="shared" si="334"/>
        <v>101.744590469227</v>
      </c>
      <c r="T664" s="226">
        <f ca="1">(1+OFFSET('玩法产出(新)'!$C$18,MATCH(X664,'玩法产出(新)'!$B$19:$B$25,0),1)*(1-V664)+OFFSET('玩法产出(新)'!$C$18,1+MATCH(X664,'玩法产出(新)'!$B$19:$B$25,0),1)*(V664))^AA664*(1+OFFSET('玩法产出(新)'!$C$18,MATCH(X664,'玩法产出(新)'!$B$19:$B$25,0),3)*(1-V664)+OFFSET('玩法产出(新)'!$C$18,1+MATCH(X664,'玩法产出(新)'!$B$19:$B$25,0),3)*(V664))^AB664*(1+OFFSET('玩法产出(新)'!$C$18,MATCH(X664,'玩法产出(新)'!$B$19:$B$25,0),4)*(1-V664)+OFFSET('玩法产出(新)'!$C$18,1+MATCH(X664,'玩法产出(新)'!$B$19:$B$25,0),4)*(V664))^AC664*(1+OFFSET('玩法产出(新)'!$C$18,MATCH(X664,'玩法产出(新)'!$B$19:$B$25,0),5)*(1+V664)+OFFSET('玩法产出(新)'!$C$18,1+MATCH(X664,'玩法产出(新)'!$B$19:$B$25,5),1)*(V664))^AD664*(1+OFFSET('玩法产出(新)'!$C$18,MATCH(X664,'玩法产出(新)'!$B$19:$B$25,0),6)*(1+V664)+OFFSET('玩法产出(新)'!$C$18,1+MATCH(X664,'玩法产出(新)'!$B$19:$B$25,0),6)*(V664))^AE664</f>
        <v>976.428454810762</v>
      </c>
      <c r="U664" s="226">
        <f ca="1" t="shared" si="353"/>
        <v>0.185547604914534</v>
      </c>
      <c r="V664" s="226">
        <f ca="1">COUNTIF($X$124:$X664,X664)/(COUNTIF($X$124:$X$723,X664)+1)</f>
        <v>0.876288659793814</v>
      </c>
      <c r="W664" s="19">
        <v>30</v>
      </c>
      <c r="X664" s="19" t="s">
        <v>326</v>
      </c>
      <c r="Y664" s="19">
        <f t="shared" si="359"/>
        <v>55260</v>
      </c>
      <c r="Z664" s="19">
        <f ca="1" t="shared" si="335"/>
        <v>0</v>
      </c>
      <c r="AA664" s="282">
        <f ca="1" t="shared" si="336"/>
        <v>0</v>
      </c>
      <c r="AB664" s="282">
        <f ca="1" t="shared" si="337"/>
        <v>18</v>
      </c>
      <c r="AC664" s="282">
        <f ca="1" t="shared" si="338"/>
        <v>11.41035</v>
      </c>
      <c r="AD664" s="282">
        <f ca="1" t="shared" si="339"/>
        <v>2.8525875</v>
      </c>
      <c r="AE664" s="282">
        <f ca="1" t="shared" si="340"/>
        <v>0.713146875</v>
      </c>
      <c r="AF664" s="19" t="str">
        <f t="shared" si="341"/>
        <v>彩6</v>
      </c>
      <c r="AG664" s="19">
        <f>IFERROR(_xlfn.XLOOKUP(C664+1,[2]基因升级!$E$141:$E$500,[2]基因升级!$D$141:$D$500)-1,AG663)</f>
        <v>119</v>
      </c>
      <c r="AH664" s="19">
        <v>8</v>
      </c>
      <c r="AI664" s="19">
        <f t="shared" si="342"/>
        <v>10.5142500606751</v>
      </c>
      <c r="AJ664" s="19">
        <f t="shared" si="354"/>
        <v>0</v>
      </c>
      <c r="AK664" s="269">
        <v>2.0368</v>
      </c>
      <c r="AL664" s="287">
        <f t="shared" si="363"/>
        <v>23.2799999999997</v>
      </c>
      <c r="AM664" s="287">
        <f t="shared" si="364"/>
        <v>19.6799999999998</v>
      </c>
      <c r="AN664" s="287">
        <f t="shared" si="325"/>
        <v>16.0799999999998</v>
      </c>
      <c r="AO664" s="287">
        <f t="shared" si="360"/>
        <v>12.4799999999999</v>
      </c>
      <c r="AP664" s="287">
        <f t="shared" si="324"/>
        <v>8.87999999999998</v>
      </c>
      <c r="AQ664" s="19">
        <f t="shared" si="343"/>
        <v>4.8311925235249</v>
      </c>
      <c r="AR664" s="19">
        <f t="shared" si="344"/>
        <v>3.78680328199092</v>
      </c>
      <c r="AS664" s="19">
        <f t="shared" si="345"/>
        <v>2.96818622455447</v>
      </c>
      <c r="AT664" s="19">
        <f t="shared" si="346"/>
        <v>2.32653475968337</v>
      </c>
      <c r="AU664" s="19">
        <f t="shared" si="347"/>
        <v>1.82359312338208</v>
      </c>
      <c r="AV664" s="232">
        <f t="shared" si="327"/>
        <v>0.0399999999999991</v>
      </c>
      <c r="AW664" s="232">
        <f t="shared" si="328"/>
        <v>0.0399999999999991</v>
      </c>
      <c r="AX664" s="232">
        <f t="shared" si="329"/>
        <v>0.0399999999999991</v>
      </c>
      <c r="AY664" s="232">
        <f t="shared" si="330"/>
        <v>0.0399999999999991</v>
      </c>
      <c r="AZ664" s="232">
        <f t="shared" si="331"/>
        <v>0.0399999999999991</v>
      </c>
    </row>
    <row r="665" spans="1:52">
      <c r="A665" s="269"/>
      <c r="C665" s="19">
        <v>542</v>
      </c>
      <c r="D665" s="86">
        <f ca="1" t="shared" si="355"/>
        <v>306.70224307154</v>
      </c>
      <c r="E665" s="251">
        <f ca="1" t="shared" si="332"/>
        <v>0.385396634141401</v>
      </c>
      <c r="F665" s="269">
        <f ca="1" t="shared" si="348"/>
        <v>519.66820580491</v>
      </c>
      <c r="G665" s="283">
        <f ca="1" t="shared" si="349"/>
        <v>200.278377387513</v>
      </c>
      <c r="H665" s="279">
        <f ca="1" t="shared" si="350"/>
        <v>0.199704893616854</v>
      </c>
      <c r="I665" s="269">
        <f ca="1">SUM($J$125:J665)/SUM($H$125:H665)</f>
        <v>0.450076388934314</v>
      </c>
      <c r="J665" s="284">
        <f t="shared" si="356"/>
        <v>0.0465421085287403</v>
      </c>
      <c r="K665" s="19">
        <f t="shared" si="358"/>
        <v>55100</v>
      </c>
      <c r="L665" s="269">
        <f t="shared" si="351"/>
        <v>3.75499999999994</v>
      </c>
      <c r="M665" s="226">
        <f ca="1" t="shared" si="352"/>
        <v>1638.912</v>
      </c>
      <c r="N665" s="280">
        <f ca="1" t="shared" si="357"/>
        <v>0.153162785088114</v>
      </c>
      <c r="O665" s="226">
        <f t="shared" si="362"/>
        <v>844.8</v>
      </c>
      <c r="P665" s="19">
        <f ca="1" t="shared" si="326"/>
        <v>10.4</v>
      </c>
      <c r="Q665" s="226">
        <f ca="1" t="shared" si="361"/>
        <v>1.94</v>
      </c>
      <c r="R665" s="269">
        <f ca="1" t="shared" si="333"/>
        <v>1.08500087587893</v>
      </c>
      <c r="S665" s="266">
        <f ca="1" t="shared" si="334"/>
        <v>101.930282209752</v>
      </c>
      <c r="T665" s="226">
        <f ca="1">(1+OFFSET('玩法产出(新)'!$C$18,MATCH(X665,'玩法产出(新)'!$B$19:$B$25,0),1)*(1-V665)+OFFSET('玩法产出(新)'!$C$18,1+MATCH(X665,'玩法产出(新)'!$B$19:$B$25,0),1)*(V665))^AA665*(1+OFFSET('玩法产出(新)'!$C$18,MATCH(X665,'玩法产出(新)'!$B$19:$B$25,0),3)*(1-V665)+OFFSET('玩法产出(新)'!$C$18,1+MATCH(X665,'玩法产出(新)'!$B$19:$B$25,0),3)*(V665))^AB665*(1+OFFSET('玩法产出(新)'!$C$18,MATCH(X665,'玩法产出(新)'!$B$19:$B$25,0),4)*(1-V665)+OFFSET('玩法产出(新)'!$C$18,1+MATCH(X665,'玩法产出(新)'!$B$19:$B$25,0),4)*(V665))^AC665*(1+OFFSET('玩法产出(新)'!$C$18,MATCH(X665,'玩法产出(新)'!$B$19:$B$25,0),5)*(1+V665)+OFFSET('玩法产出(新)'!$C$18,1+MATCH(X665,'玩法产出(新)'!$B$19:$B$25,5),1)*(V665))^AD665*(1+OFFSET('玩法产出(新)'!$C$18,MATCH(X665,'玩法产出(新)'!$B$19:$B$25,0),6)*(1+V665)+OFFSET('玩法产出(新)'!$C$18,1+MATCH(X665,'玩法产出(新)'!$B$19:$B$25,0),6)*(V665))^AE665</f>
        <v>988.773348405087</v>
      </c>
      <c r="U665" s="226">
        <f ca="1" t="shared" si="353"/>
        <v>0.185691740524547</v>
      </c>
      <c r="V665" s="226">
        <f ca="1">COUNTIF($X$124:$X665,X665)/(COUNTIF($X$124:$X$723,X665)+1)</f>
        <v>0.878350515463918</v>
      </c>
      <c r="W665" s="19">
        <v>30</v>
      </c>
      <c r="X665" s="19" t="s">
        <v>326</v>
      </c>
      <c r="Y665" s="19">
        <f t="shared" si="359"/>
        <v>55360</v>
      </c>
      <c r="Z665" s="19">
        <f ca="1" t="shared" si="335"/>
        <v>0</v>
      </c>
      <c r="AA665" s="282">
        <f ca="1" t="shared" si="336"/>
        <v>0</v>
      </c>
      <c r="AB665" s="282">
        <f ca="1" t="shared" si="337"/>
        <v>18</v>
      </c>
      <c r="AC665" s="282">
        <f ca="1" t="shared" si="338"/>
        <v>11.4312</v>
      </c>
      <c r="AD665" s="282">
        <f ca="1" t="shared" si="339"/>
        <v>2.8578</v>
      </c>
      <c r="AE665" s="282">
        <f ca="1" t="shared" si="340"/>
        <v>0.71445</v>
      </c>
      <c r="AF665" s="19" t="str">
        <f t="shared" si="341"/>
        <v>彩6</v>
      </c>
      <c r="AG665" s="19">
        <f>IFERROR(_xlfn.XLOOKUP(C665+1,[2]基因升级!$E$141:$E$500,[2]基因升级!$D$141:$D$500)-1,AG664)</f>
        <v>119</v>
      </c>
      <c r="AH665" s="19">
        <v>8</v>
      </c>
      <c r="AI665" s="19">
        <f t="shared" si="342"/>
        <v>10.5142500606751</v>
      </c>
      <c r="AJ665" s="19">
        <f t="shared" si="354"/>
        <v>0</v>
      </c>
      <c r="AK665" s="269">
        <v>2.0368</v>
      </c>
      <c r="AL665" s="287">
        <f t="shared" si="363"/>
        <v>23.3199999999997</v>
      </c>
      <c r="AM665" s="287">
        <f t="shared" si="364"/>
        <v>19.7199999999998</v>
      </c>
      <c r="AN665" s="287">
        <f t="shared" si="325"/>
        <v>16.1199999999998</v>
      </c>
      <c r="AO665" s="287">
        <f t="shared" si="360"/>
        <v>12.5199999999999</v>
      </c>
      <c r="AP665" s="287">
        <f t="shared" si="324"/>
        <v>8.91999999999998</v>
      </c>
      <c r="AQ665" s="19">
        <f t="shared" si="343"/>
        <v>4.84428511033463</v>
      </c>
      <c r="AR665" s="19">
        <f t="shared" si="344"/>
        <v>3.79706556205105</v>
      </c>
      <c r="AS665" s="19">
        <f t="shared" si="345"/>
        <v>2.97623004305751</v>
      </c>
      <c r="AT665" s="19">
        <f t="shared" si="346"/>
        <v>2.33283969540239</v>
      </c>
      <c r="AU665" s="19">
        <f t="shared" si="347"/>
        <v>1.82853508153367</v>
      </c>
      <c r="AV665" s="232">
        <f t="shared" si="327"/>
        <v>0.0399999999999991</v>
      </c>
      <c r="AW665" s="232">
        <f t="shared" si="328"/>
        <v>0.0399999999999991</v>
      </c>
      <c r="AX665" s="232">
        <f t="shared" si="329"/>
        <v>0.0399999999999991</v>
      </c>
      <c r="AY665" s="232">
        <f t="shared" si="330"/>
        <v>0.0399999999999991</v>
      </c>
      <c r="AZ665" s="232">
        <f t="shared" si="331"/>
        <v>0.0399999999999991</v>
      </c>
    </row>
    <row r="666" spans="1:52">
      <c r="A666" s="269"/>
      <c r="C666" s="19">
        <v>543</v>
      </c>
      <c r="D666" s="86">
        <f ca="1" t="shared" si="355"/>
        <v>307.086137960611</v>
      </c>
      <c r="E666" s="251">
        <f ca="1" t="shared" si="332"/>
        <v>0.383894889070665</v>
      </c>
      <c r="F666" s="269">
        <f ca="1" t="shared" si="348"/>
        <v>522.216997860963</v>
      </c>
      <c r="G666" s="283">
        <f ca="1" t="shared" si="349"/>
        <v>200.47643646465</v>
      </c>
      <c r="H666" s="279">
        <f ca="1" t="shared" si="350"/>
        <v>0.198059077137202</v>
      </c>
      <c r="I666" s="269">
        <f ca="1">SUM($J$125:J666)/SUM($H$125:H666)</f>
        <v>0.449852348129416</v>
      </c>
      <c r="J666" s="284">
        <f t="shared" si="356"/>
        <v>0.0464672200938594</v>
      </c>
      <c r="K666" s="19">
        <f t="shared" si="358"/>
        <v>55200</v>
      </c>
      <c r="L666" s="269">
        <f t="shared" si="351"/>
        <v>3.75999999999994</v>
      </c>
      <c r="M666" s="226">
        <f ca="1" t="shared" si="352"/>
        <v>1655.808</v>
      </c>
      <c r="N666" s="280">
        <f ca="1" t="shared" si="357"/>
        <v>0.151591857043343</v>
      </c>
      <c r="O666" s="226">
        <f t="shared" si="362"/>
        <v>844.8</v>
      </c>
      <c r="P666" s="19">
        <f ca="1" t="shared" si="326"/>
        <v>10.6</v>
      </c>
      <c r="Q666" s="226">
        <f ca="1" t="shared" si="361"/>
        <v>1.96</v>
      </c>
      <c r="R666" s="269">
        <f ca="1" t="shared" si="333"/>
        <v>1.08697901244783</v>
      </c>
      <c r="S666" s="266">
        <f ca="1" t="shared" si="334"/>
        <v>102.116118021685</v>
      </c>
      <c r="T666" s="226">
        <f ca="1">(1+OFFSET('玩法产出(新)'!$C$18,MATCH(X666,'玩法产出(新)'!$B$19:$B$25,0),1)*(1-V666)+OFFSET('玩法产出(新)'!$C$18,1+MATCH(X666,'玩法产出(新)'!$B$19:$B$25,0),1)*(V666))^AA666*(1+OFFSET('玩法产出(新)'!$C$18,MATCH(X666,'玩法产出(新)'!$B$19:$B$25,0),3)*(1-V666)+OFFSET('玩法产出(新)'!$C$18,1+MATCH(X666,'玩法产出(新)'!$B$19:$B$25,0),3)*(V666))^AB666*(1+OFFSET('玩法产出(新)'!$C$18,MATCH(X666,'玩法产出(新)'!$B$19:$B$25,0),4)*(1-V666)+OFFSET('玩法产出(新)'!$C$18,1+MATCH(X666,'玩法产出(新)'!$B$19:$B$25,0),4)*(V666))^AC666*(1+OFFSET('玩法产出(新)'!$C$18,MATCH(X666,'玩法产出(新)'!$B$19:$B$25,0),5)*(1+V666)+OFFSET('玩法产出(新)'!$C$18,1+MATCH(X666,'玩法产出(新)'!$B$19:$B$25,5),1)*(V666))^AD666*(1+OFFSET('玩法产出(新)'!$C$18,MATCH(X666,'玩法产出(新)'!$B$19:$B$25,0),6)*(1+V666)+OFFSET('玩法产出(新)'!$C$18,1+MATCH(X666,'玩法产出(新)'!$B$19:$B$25,0),6)*(V666))^AE666</f>
        <v>1001.28407748008</v>
      </c>
      <c r="U666" s="226">
        <f ca="1" t="shared" si="353"/>
        <v>0.185835811933463</v>
      </c>
      <c r="V666" s="226">
        <f ca="1">COUNTIF($X$124:$X666,X666)/(COUNTIF($X$124:$X$723,X666)+1)</f>
        <v>0.880412371134021</v>
      </c>
      <c r="W666" s="19">
        <v>30</v>
      </c>
      <c r="X666" s="19" t="s">
        <v>326</v>
      </c>
      <c r="Y666" s="19">
        <f t="shared" si="359"/>
        <v>55460</v>
      </c>
      <c r="Z666" s="19">
        <f ca="1" t="shared" si="335"/>
        <v>0</v>
      </c>
      <c r="AA666" s="282">
        <f ca="1" t="shared" si="336"/>
        <v>0</v>
      </c>
      <c r="AB666" s="282">
        <f ca="1" t="shared" si="337"/>
        <v>18</v>
      </c>
      <c r="AC666" s="282">
        <f ca="1" t="shared" si="338"/>
        <v>11.45205</v>
      </c>
      <c r="AD666" s="282">
        <f ca="1" t="shared" si="339"/>
        <v>2.8630125</v>
      </c>
      <c r="AE666" s="282">
        <f ca="1" t="shared" si="340"/>
        <v>0.715753125</v>
      </c>
      <c r="AF666" s="19" t="str">
        <f t="shared" si="341"/>
        <v>彩6</v>
      </c>
      <c r="AG666" s="19">
        <f>IFERROR(_xlfn.XLOOKUP(C666+1,[2]基因升级!$E$141:$E$500,[2]基因升级!$D$141:$D$500)-1,AG665)</f>
        <v>119</v>
      </c>
      <c r="AH666" s="19">
        <v>8</v>
      </c>
      <c r="AI666" s="19">
        <f t="shared" si="342"/>
        <v>10.5142500606751</v>
      </c>
      <c r="AJ666" s="19">
        <f t="shared" si="354"/>
        <v>0</v>
      </c>
      <c r="AK666" s="269">
        <v>2.0368</v>
      </c>
      <c r="AL666" s="287">
        <f t="shared" si="363"/>
        <v>23.3599999999997</v>
      </c>
      <c r="AM666" s="287">
        <f t="shared" si="364"/>
        <v>19.7599999999997</v>
      </c>
      <c r="AN666" s="287">
        <f t="shared" si="325"/>
        <v>16.1599999999998</v>
      </c>
      <c r="AO666" s="287">
        <f t="shared" si="360"/>
        <v>12.5599999999999</v>
      </c>
      <c r="AP666" s="287">
        <f t="shared" si="324"/>
        <v>8.95999999999998</v>
      </c>
      <c r="AQ666" s="19">
        <f t="shared" si="343"/>
        <v>4.85741317820387</v>
      </c>
      <c r="AR666" s="19">
        <f t="shared" si="344"/>
        <v>3.80735565300713</v>
      </c>
      <c r="AS666" s="19">
        <f t="shared" si="345"/>
        <v>2.98429566040037</v>
      </c>
      <c r="AT666" s="19">
        <f t="shared" si="346"/>
        <v>2.33916171756907</v>
      </c>
      <c r="AU666" s="19">
        <f t="shared" si="347"/>
        <v>1.83349043244818</v>
      </c>
      <c r="AV666" s="232">
        <f t="shared" si="327"/>
        <v>0.0399999999999991</v>
      </c>
      <c r="AW666" s="232">
        <f t="shared" si="328"/>
        <v>0.0399999999999991</v>
      </c>
      <c r="AX666" s="232">
        <f t="shared" si="329"/>
        <v>0.0399999999999991</v>
      </c>
      <c r="AY666" s="232">
        <f t="shared" si="330"/>
        <v>0.0399999999999991</v>
      </c>
      <c r="AZ666" s="232">
        <f t="shared" si="331"/>
        <v>0.0399999999999991</v>
      </c>
    </row>
    <row r="667" spans="1:52">
      <c r="A667" s="269"/>
      <c r="C667" s="19">
        <v>544</v>
      </c>
      <c r="D667" s="86">
        <f ca="1" t="shared" si="355"/>
        <v>307.468563184203</v>
      </c>
      <c r="E667" s="251">
        <f ca="1" t="shared" si="332"/>
        <v>0.382425223592311</v>
      </c>
      <c r="F667" s="269">
        <f ca="1" t="shared" si="348"/>
        <v>524.737568259778</v>
      </c>
      <c r="G667" s="283">
        <f ca="1" t="shared" si="349"/>
        <v>200.672881869031</v>
      </c>
      <c r="H667" s="279">
        <f ca="1" t="shared" si="350"/>
        <v>0.196445404381024</v>
      </c>
      <c r="I667" s="269">
        <f ca="1">SUM($J$125:J667)/SUM($H$125:H667)</f>
        <v>0.449632186518112</v>
      </c>
      <c r="J667" s="284">
        <f t="shared" si="356"/>
        <v>0.0463925775358689</v>
      </c>
      <c r="K667" s="19">
        <f t="shared" si="358"/>
        <v>55300</v>
      </c>
      <c r="L667" s="269">
        <f t="shared" si="351"/>
        <v>3.76499999999994</v>
      </c>
      <c r="M667" s="226">
        <f ca="1" t="shared" si="352"/>
        <v>1672.704</v>
      </c>
      <c r="N667" s="280">
        <f ca="1" t="shared" si="357"/>
        <v>0.150052826845155</v>
      </c>
      <c r="O667" s="226">
        <f t="shared" si="362"/>
        <v>844.8</v>
      </c>
      <c r="P667" s="19">
        <f ca="1" t="shared" si="326"/>
        <v>10.8</v>
      </c>
      <c r="Q667" s="226">
        <f ca="1" t="shared" si="361"/>
        <v>1.98</v>
      </c>
      <c r="R667" s="269">
        <f ca="1" t="shared" si="333"/>
        <v>1.08895868190783</v>
      </c>
      <c r="S667" s="266">
        <f ca="1" t="shared" si="334"/>
        <v>102.302097840897</v>
      </c>
      <c r="T667" s="226">
        <f ca="1">(1+OFFSET('玩法产出(新)'!$C$18,MATCH(X667,'玩法产出(新)'!$B$19:$B$25,0),1)*(1-V667)+OFFSET('玩法产出(新)'!$C$18,1+MATCH(X667,'玩法产出(新)'!$B$19:$B$25,0),1)*(V667))^AA667*(1+OFFSET('玩法产出(新)'!$C$18,MATCH(X667,'玩法产出(新)'!$B$19:$B$25,0),3)*(1-V667)+OFFSET('玩法产出(新)'!$C$18,1+MATCH(X667,'玩法产出(新)'!$B$19:$B$25,0),3)*(V667))^AB667*(1+OFFSET('玩法产出(新)'!$C$18,MATCH(X667,'玩法产出(新)'!$B$19:$B$25,0),4)*(1-V667)+OFFSET('玩法产出(新)'!$C$18,1+MATCH(X667,'玩法产出(新)'!$B$19:$B$25,0),4)*(V667))^AC667*(1+OFFSET('玩法产出(新)'!$C$18,MATCH(X667,'玩法产出(新)'!$B$19:$B$25,0),5)*(1+V667)+OFFSET('玩法产出(新)'!$C$18,1+MATCH(X667,'玩法产出(新)'!$B$19:$B$25,5),1)*(V667))^AD667*(1+OFFSET('玩法产出(新)'!$C$18,MATCH(X667,'玩法产出(新)'!$B$19:$B$25,0),6)*(1+V667)+OFFSET('玩法产出(新)'!$C$18,1+MATCH(X667,'玩法产出(新)'!$B$19:$B$25,0),6)*(V667))^AE667</f>
        <v>1013.96298136086</v>
      </c>
      <c r="U667" s="226">
        <f ca="1" t="shared" si="353"/>
        <v>0.185979819211288</v>
      </c>
      <c r="V667" s="226">
        <f ca="1">COUNTIF($X$124:$X667,X667)/(COUNTIF($X$124:$X$723,X667)+1)</f>
        <v>0.882474226804124</v>
      </c>
      <c r="W667" s="19">
        <v>30</v>
      </c>
      <c r="X667" s="19" t="s">
        <v>326</v>
      </c>
      <c r="Y667" s="19">
        <f t="shared" si="359"/>
        <v>55560</v>
      </c>
      <c r="Z667" s="19">
        <f ca="1" t="shared" si="335"/>
        <v>0</v>
      </c>
      <c r="AA667" s="282">
        <f ca="1" t="shared" si="336"/>
        <v>0</v>
      </c>
      <c r="AB667" s="282">
        <f ca="1" t="shared" si="337"/>
        <v>18</v>
      </c>
      <c r="AC667" s="282">
        <f ca="1" t="shared" si="338"/>
        <v>11.4729</v>
      </c>
      <c r="AD667" s="282">
        <f ca="1" t="shared" si="339"/>
        <v>2.868225</v>
      </c>
      <c r="AE667" s="282">
        <f ca="1" t="shared" si="340"/>
        <v>0.71705625</v>
      </c>
      <c r="AF667" s="19" t="str">
        <f t="shared" si="341"/>
        <v>彩6</v>
      </c>
      <c r="AG667" s="19">
        <f>IFERROR(_xlfn.XLOOKUP(C667+1,[2]基因升级!$E$141:$E$500,[2]基因升级!$D$141:$D$500)-1,AG666)</f>
        <v>119</v>
      </c>
      <c r="AH667" s="19">
        <v>8</v>
      </c>
      <c r="AI667" s="19">
        <f t="shared" si="342"/>
        <v>10.5142500606751</v>
      </c>
      <c r="AJ667" s="19">
        <f t="shared" si="354"/>
        <v>0</v>
      </c>
      <c r="AK667" s="269">
        <v>2.0368</v>
      </c>
      <c r="AL667" s="287">
        <f t="shared" si="363"/>
        <v>23.3999999999997</v>
      </c>
      <c r="AM667" s="287">
        <f t="shared" si="364"/>
        <v>19.7999999999997</v>
      </c>
      <c r="AN667" s="287">
        <f t="shared" si="325"/>
        <v>16.1999999999998</v>
      </c>
      <c r="AO667" s="287">
        <f t="shared" si="360"/>
        <v>12.5999999999999</v>
      </c>
      <c r="AP667" s="287">
        <f t="shared" si="324"/>
        <v>8.99999999999998</v>
      </c>
      <c r="AQ667" s="19">
        <f t="shared" si="343"/>
        <v>4.87057682328667</v>
      </c>
      <c r="AR667" s="19">
        <f t="shared" si="344"/>
        <v>3.817673630227</v>
      </c>
      <c r="AS667" s="19">
        <f t="shared" si="345"/>
        <v>2.99238313565818</v>
      </c>
      <c r="AT667" s="19">
        <f t="shared" si="346"/>
        <v>2.3455008724879</v>
      </c>
      <c r="AU667" s="19">
        <f t="shared" si="347"/>
        <v>1.83845921242015</v>
      </c>
      <c r="AV667" s="232">
        <f t="shared" si="327"/>
        <v>0.0399999999999991</v>
      </c>
      <c r="AW667" s="232">
        <f t="shared" si="328"/>
        <v>0.0399999999999991</v>
      </c>
      <c r="AX667" s="232">
        <f t="shared" si="329"/>
        <v>0.0399999999999991</v>
      </c>
      <c r="AY667" s="232">
        <f t="shared" si="330"/>
        <v>0.0399999999999991</v>
      </c>
      <c r="AZ667" s="232">
        <f t="shared" si="331"/>
        <v>0.0399999999999991</v>
      </c>
    </row>
    <row r="668" spans="1:52">
      <c r="A668" s="269"/>
      <c r="C668" s="19">
        <v>545</v>
      </c>
      <c r="D668" s="86">
        <f ca="1" t="shared" si="355"/>
        <v>307.84954985897</v>
      </c>
      <c r="E668" s="251">
        <f ca="1" t="shared" si="332"/>
        <v>0.380986674766966</v>
      </c>
      <c r="F668" s="269">
        <f ca="1" t="shared" si="348"/>
        <v>527.230368107317</v>
      </c>
      <c r="G668" s="283">
        <f ca="1" t="shared" si="349"/>
        <v>200.86774478137</v>
      </c>
      <c r="H668" s="279">
        <f ca="1" t="shared" si="350"/>
        <v>0.194862912338778</v>
      </c>
      <c r="I668" s="269">
        <f ca="1">SUM($J$125:J668)/SUM($H$125:H668)</f>
        <v>0.449415814402587</v>
      </c>
      <c r="J668" s="284">
        <f t="shared" si="356"/>
        <v>0.0463181796222756</v>
      </c>
      <c r="K668" s="19">
        <f t="shared" si="358"/>
        <v>55400</v>
      </c>
      <c r="L668" s="269">
        <f t="shared" si="351"/>
        <v>3.76999999999994</v>
      </c>
      <c r="M668" s="226">
        <f ca="1" t="shared" si="352"/>
        <v>1689.6</v>
      </c>
      <c r="N668" s="280">
        <f ca="1" t="shared" si="357"/>
        <v>0.148544732716474</v>
      </c>
      <c r="O668" s="226">
        <f t="shared" si="362"/>
        <v>844.8</v>
      </c>
      <c r="P668" s="19">
        <f ca="1" t="shared" si="326"/>
        <v>11</v>
      </c>
      <c r="Q668" s="226">
        <f ca="1" t="shared" si="361"/>
        <v>2</v>
      </c>
      <c r="R668" s="269">
        <f ca="1" t="shared" si="333"/>
        <v>1.09093988357704</v>
      </c>
      <c r="S668" s="266">
        <f ca="1" t="shared" si="334"/>
        <v>102.488221603325</v>
      </c>
      <c r="T668" s="226">
        <f ca="1">(1+OFFSET('玩法产出(新)'!$C$18,MATCH(X668,'玩法产出(新)'!$B$19:$B$25,0),1)*(1-V668)+OFFSET('玩法产出(新)'!$C$18,1+MATCH(X668,'玩法产出(新)'!$B$19:$B$25,0),1)*(V668))^AA668*(1+OFFSET('玩法产出(新)'!$C$18,MATCH(X668,'玩法产出(新)'!$B$19:$B$25,0),3)*(1-V668)+OFFSET('玩法产出(新)'!$C$18,1+MATCH(X668,'玩法产出(新)'!$B$19:$B$25,0),3)*(V668))^AB668*(1+OFFSET('玩法产出(新)'!$C$18,MATCH(X668,'玩法产出(新)'!$B$19:$B$25,0),4)*(1-V668)+OFFSET('玩法产出(新)'!$C$18,1+MATCH(X668,'玩法产出(新)'!$B$19:$B$25,0),4)*(V668))^AC668*(1+OFFSET('玩法产出(新)'!$C$18,MATCH(X668,'玩法产出(新)'!$B$19:$B$25,0),5)*(1+V668)+OFFSET('玩法产出(新)'!$C$18,1+MATCH(X668,'玩法产出(新)'!$B$19:$B$25,5),1)*(V668))^AD668*(1+OFFSET('玩法产出(新)'!$C$18,MATCH(X668,'玩法产出(新)'!$B$19:$B$25,0),6)*(1+V668)+OFFSET('玩法产出(新)'!$C$18,1+MATCH(X668,'玩法产出(新)'!$B$19:$B$25,0),6)*(V668))^AE668</f>
        <v>1026.81243376982</v>
      </c>
      <c r="U668" s="226">
        <f ca="1" t="shared" si="353"/>
        <v>0.186123762428217</v>
      </c>
      <c r="V668" s="226">
        <f ca="1">COUNTIF($X$124:$X668,X668)/(COUNTIF($X$124:$X$723,X668)+1)</f>
        <v>0.884536082474227</v>
      </c>
      <c r="W668" s="19">
        <v>30</v>
      </c>
      <c r="X668" s="19" t="s">
        <v>326</v>
      </c>
      <c r="Y668" s="19">
        <f t="shared" si="359"/>
        <v>55660</v>
      </c>
      <c r="Z668" s="19">
        <f ca="1" t="shared" si="335"/>
        <v>0</v>
      </c>
      <c r="AA668" s="282">
        <f ca="1" t="shared" si="336"/>
        <v>0</v>
      </c>
      <c r="AB668" s="282">
        <f ca="1" t="shared" si="337"/>
        <v>18</v>
      </c>
      <c r="AC668" s="282">
        <f ca="1" t="shared" si="338"/>
        <v>11.49375</v>
      </c>
      <c r="AD668" s="282">
        <f ca="1" t="shared" si="339"/>
        <v>2.8734375</v>
      </c>
      <c r="AE668" s="282">
        <f ca="1" t="shared" si="340"/>
        <v>0.718359375</v>
      </c>
      <c r="AF668" s="19" t="str">
        <f t="shared" si="341"/>
        <v>彩6</v>
      </c>
      <c r="AG668" s="19">
        <f>IFERROR(_xlfn.XLOOKUP(C668+1,[2]基因升级!$E$141:$E$500,[2]基因升级!$D$141:$D$500)-1,AG667)</f>
        <v>119</v>
      </c>
      <c r="AH668" s="19">
        <v>8</v>
      </c>
      <c r="AI668" s="19">
        <f t="shared" si="342"/>
        <v>10.5142500606751</v>
      </c>
      <c r="AJ668" s="19">
        <f t="shared" si="354"/>
        <v>0</v>
      </c>
      <c r="AK668" s="269">
        <v>2.0368</v>
      </c>
      <c r="AL668" s="287">
        <f t="shared" si="363"/>
        <v>23.4399999999997</v>
      </c>
      <c r="AM668" s="287">
        <f t="shared" si="364"/>
        <v>19.8399999999997</v>
      </c>
      <c r="AN668" s="287">
        <f t="shared" si="325"/>
        <v>16.2399999999998</v>
      </c>
      <c r="AO668" s="287">
        <f t="shared" si="360"/>
        <v>12.6399999999999</v>
      </c>
      <c r="AP668" s="287">
        <f t="shared" si="324"/>
        <v>9.03999999999998</v>
      </c>
      <c r="AQ668" s="19">
        <f t="shared" si="343"/>
        <v>4.8837761419977</v>
      </c>
      <c r="AR668" s="19">
        <f t="shared" si="344"/>
        <v>3.82801956928275</v>
      </c>
      <c r="AS668" s="19">
        <f t="shared" si="345"/>
        <v>3.00049252806612</v>
      </c>
      <c r="AT668" s="19">
        <f t="shared" si="346"/>
        <v>2.35185720658881</v>
      </c>
      <c r="AU668" s="19">
        <f t="shared" si="347"/>
        <v>1.84344145784249</v>
      </c>
      <c r="AV668" s="232">
        <f t="shared" si="327"/>
        <v>0.0399999999999991</v>
      </c>
      <c r="AW668" s="232">
        <f t="shared" si="328"/>
        <v>0.0399999999999991</v>
      </c>
      <c r="AX668" s="232">
        <f t="shared" si="329"/>
        <v>0.0399999999999991</v>
      </c>
      <c r="AY668" s="232">
        <f t="shared" si="330"/>
        <v>0.0399999999999991</v>
      </c>
      <c r="AZ668" s="232">
        <f t="shared" si="331"/>
        <v>0.0399999999999991</v>
      </c>
    </row>
    <row r="669" spans="1:52">
      <c r="A669" s="269"/>
      <c r="C669" s="19">
        <v>546</v>
      </c>
      <c r="D669" s="86">
        <f ca="1" t="shared" si="355"/>
        <v>308.229128176915</v>
      </c>
      <c r="E669" s="251">
        <f ca="1" t="shared" si="332"/>
        <v>0.379578317944708</v>
      </c>
      <c r="F669" s="269">
        <f ca="1" t="shared" si="348"/>
        <v>529.695838651534</v>
      </c>
      <c r="G669" s="283">
        <f ca="1" t="shared" si="349"/>
        <v>201.061055457661</v>
      </c>
      <c r="H669" s="279">
        <f ca="1" t="shared" si="350"/>
        <v>0.193310676290679</v>
      </c>
      <c r="I669" s="269">
        <f ca="1">SUM($J$125:J669)/SUM($H$125:H669)</f>
        <v>0.449203144950973</v>
      </c>
      <c r="J669" s="284">
        <f t="shared" si="356"/>
        <v>0.0462440251290275</v>
      </c>
      <c r="K669" s="19">
        <f t="shared" si="358"/>
        <v>55500</v>
      </c>
      <c r="L669" s="269">
        <f t="shared" si="351"/>
        <v>3.77499999999994</v>
      </c>
      <c r="M669" s="226">
        <f ca="1" t="shared" si="352"/>
        <v>1706.496</v>
      </c>
      <c r="N669" s="280">
        <f ca="1" t="shared" si="357"/>
        <v>0.147066651161666</v>
      </c>
      <c r="O669" s="226">
        <f t="shared" si="362"/>
        <v>844.8</v>
      </c>
      <c r="P669" s="19">
        <f ca="1" t="shared" si="326"/>
        <v>11.2</v>
      </c>
      <c r="Q669" s="226">
        <f ca="1" t="shared" si="361"/>
        <v>2.02</v>
      </c>
      <c r="R669" s="269">
        <f ca="1" t="shared" si="333"/>
        <v>1.09292261677429</v>
      </c>
      <c r="S669" s="266">
        <f ca="1" t="shared" si="334"/>
        <v>102.674489244979</v>
      </c>
      <c r="T669" s="226">
        <f ca="1">(1+OFFSET('玩法产出(新)'!$C$18,MATCH(X669,'玩法产出(新)'!$B$19:$B$25,0),1)*(1-V669)+OFFSET('玩法产出(新)'!$C$18,1+MATCH(X669,'玩法产出(新)'!$B$19:$B$25,0),1)*(V669))^AA669*(1+OFFSET('玩法产出(新)'!$C$18,MATCH(X669,'玩法产出(新)'!$B$19:$B$25,0),3)*(1-V669)+OFFSET('玩法产出(新)'!$C$18,1+MATCH(X669,'玩法产出(新)'!$B$19:$B$25,0),3)*(V669))^AB669*(1+OFFSET('玩法产出(新)'!$C$18,MATCH(X669,'玩法产出(新)'!$B$19:$B$25,0),4)*(1-V669)+OFFSET('玩法产出(新)'!$C$18,1+MATCH(X669,'玩法产出(新)'!$B$19:$B$25,0),4)*(V669))^AC669*(1+OFFSET('玩法产出(新)'!$C$18,MATCH(X669,'玩法产出(新)'!$B$19:$B$25,0),5)*(1+V669)+OFFSET('玩法产出(新)'!$C$18,1+MATCH(X669,'玩法产出(新)'!$B$19:$B$25,5),1)*(V669))^AD669*(1+OFFSET('玩法产出(新)'!$C$18,MATCH(X669,'玩法产出(新)'!$B$19:$B$25,0),6)*(1+V669)+OFFSET('玩法产出(新)'!$C$18,1+MATCH(X669,'玩法产出(新)'!$B$19:$B$25,0),6)*(V669))^AE669</f>
        <v>1039.83484335106</v>
      </c>
      <c r="U669" s="226">
        <f ca="1" t="shared" si="353"/>
        <v>0.186267641654015</v>
      </c>
      <c r="V669" s="226">
        <f ca="1">COUNTIF($X$124:$X669,X669)/(COUNTIF($X$124:$X$723,X669)+1)</f>
        <v>0.88659793814433</v>
      </c>
      <c r="W669" s="19">
        <v>30</v>
      </c>
      <c r="X669" s="19" t="s">
        <v>326</v>
      </c>
      <c r="Y669" s="19">
        <f t="shared" si="359"/>
        <v>55760</v>
      </c>
      <c r="Z669" s="19">
        <f ca="1" t="shared" si="335"/>
        <v>0</v>
      </c>
      <c r="AA669" s="282">
        <f ca="1" t="shared" si="336"/>
        <v>0</v>
      </c>
      <c r="AB669" s="282">
        <f ca="1" t="shared" si="337"/>
        <v>18</v>
      </c>
      <c r="AC669" s="282">
        <f ca="1" t="shared" si="338"/>
        <v>11.5146</v>
      </c>
      <c r="AD669" s="282">
        <f ca="1" t="shared" si="339"/>
        <v>2.87865</v>
      </c>
      <c r="AE669" s="282">
        <f ca="1" t="shared" si="340"/>
        <v>0.7196625</v>
      </c>
      <c r="AF669" s="19" t="str">
        <f t="shared" si="341"/>
        <v>彩6</v>
      </c>
      <c r="AG669" s="19">
        <f>IFERROR(_xlfn.XLOOKUP(C669+1,[2]基因升级!$E$141:$E$500,[2]基因升级!$D$141:$D$500)-1,AG668)</f>
        <v>119</v>
      </c>
      <c r="AH669" s="19">
        <v>8</v>
      </c>
      <c r="AI669" s="19">
        <f t="shared" si="342"/>
        <v>10.5142500606751</v>
      </c>
      <c r="AJ669" s="19">
        <f t="shared" si="354"/>
        <v>0</v>
      </c>
      <c r="AK669" s="269">
        <v>2.0368</v>
      </c>
      <c r="AL669" s="287">
        <f t="shared" si="363"/>
        <v>23.4799999999997</v>
      </c>
      <c r="AM669" s="287">
        <f t="shared" si="364"/>
        <v>19.8799999999997</v>
      </c>
      <c r="AN669" s="287">
        <f t="shared" si="325"/>
        <v>16.2799999999998</v>
      </c>
      <c r="AO669" s="287">
        <f t="shared" si="360"/>
        <v>12.6799999999999</v>
      </c>
      <c r="AP669" s="287">
        <f t="shared" si="324"/>
        <v>9.07999999999998</v>
      </c>
      <c r="AQ669" s="19">
        <f t="shared" si="343"/>
        <v>4.8970112310129</v>
      </c>
      <c r="AR669" s="19">
        <f t="shared" si="344"/>
        <v>3.83839354595127</v>
      </c>
      <c r="AS669" s="19">
        <f t="shared" si="345"/>
        <v>3.00862389701993</v>
      </c>
      <c r="AT669" s="19">
        <f t="shared" si="346"/>
        <v>2.35823076642759</v>
      </c>
      <c r="AU669" s="19">
        <f t="shared" si="347"/>
        <v>1.84843720520672</v>
      </c>
      <c r="AV669" s="232">
        <f t="shared" si="327"/>
        <v>0.0399999999999991</v>
      </c>
      <c r="AW669" s="232">
        <f t="shared" si="328"/>
        <v>0.0399999999999991</v>
      </c>
      <c r="AX669" s="232">
        <f t="shared" si="329"/>
        <v>0.0399999999999991</v>
      </c>
      <c r="AY669" s="232">
        <f t="shared" si="330"/>
        <v>0.0399999999999991</v>
      </c>
      <c r="AZ669" s="232">
        <f t="shared" si="331"/>
        <v>0.0399999999999991</v>
      </c>
    </row>
    <row r="670" spans="1:52">
      <c r="A670" s="269"/>
      <c r="C670" s="19">
        <v>547</v>
      </c>
      <c r="D670" s="86">
        <f ca="1" t="shared" si="355"/>
        <v>308.607327441794</v>
      </c>
      <c r="E670" s="251">
        <f ca="1" t="shared" si="332"/>
        <v>0.37819926487927</v>
      </c>
      <c r="F670" s="269">
        <f ca="1" t="shared" si="348"/>
        <v>532.13441155108</v>
      </c>
      <c r="G670" s="283">
        <f ca="1" t="shared" si="349"/>
        <v>201.252843265581</v>
      </c>
      <c r="H670" s="279">
        <f ca="1" t="shared" si="350"/>
        <v>0.19178780792069</v>
      </c>
      <c r="I670" s="269">
        <f ca="1">SUM($J$125:J670)/SUM($H$125:H670)</f>
        <v>0.448994094079058</v>
      </c>
      <c r="J670" s="284">
        <f t="shared" si="356"/>
        <v>0.0461701128402723</v>
      </c>
      <c r="K670" s="19">
        <f t="shared" si="358"/>
        <v>55600</v>
      </c>
      <c r="L670" s="269">
        <f t="shared" si="351"/>
        <v>3.77999999999994</v>
      </c>
      <c r="M670" s="226">
        <f ca="1" t="shared" si="352"/>
        <v>1723.392</v>
      </c>
      <c r="N670" s="280">
        <f ca="1" t="shared" si="357"/>
        <v>0.145617695080404</v>
      </c>
      <c r="O670" s="226">
        <f t="shared" si="362"/>
        <v>844.8</v>
      </c>
      <c r="P670" s="19">
        <f ca="1" t="shared" si="326"/>
        <v>11.4</v>
      </c>
      <c r="Q670" s="226">
        <f ca="1" t="shared" si="361"/>
        <v>2.04</v>
      </c>
      <c r="R670" s="269">
        <f ca="1" t="shared" si="333"/>
        <v>1.09490688081918</v>
      </c>
      <c r="S670" s="266">
        <f ca="1" t="shared" si="334"/>
        <v>102.860900701938</v>
      </c>
      <c r="T670" s="226">
        <f ca="1">(1+OFFSET('玩法产出(新)'!$C$18,MATCH(X670,'玩法产出(新)'!$B$19:$B$25,0),1)*(1-V670)+OFFSET('玩法产出(新)'!$C$18,1+MATCH(X670,'玩法产出(新)'!$B$19:$B$25,0),1)*(V670))^AA670*(1+OFFSET('玩法产出(新)'!$C$18,MATCH(X670,'玩法产出(新)'!$B$19:$B$25,0),3)*(1-V670)+OFFSET('玩法产出(新)'!$C$18,1+MATCH(X670,'玩法产出(新)'!$B$19:$B$25,0),3)*(V670))^AB670*(1+OFFSET('玩法产出(新)'!$C$18,MATCH(X670,'玩法产出(新)'!$B$19:$B$25,0),4)*(1-V670)+OFFSET('玩法产出(新)'!$C$18,1+MATCH(X670,'玩法产出(新)'!$B$19:$B$25,0),4)*(V670))^AC670*(1+OFFSET('玩法产出(新)'!$C$18,MATCH(X670,'玩法产出(新)'!$B$19:$B$25,0),5)*(1+V670)+OFFSET('玩法产出(新)'!$C$18,1+MATCH(X670,'玩法产出(新)'!$B$19:$B$25,5),1)*(V670))^AD670*(1+OFFSET('玩法产出(新)'!$C$18,MATCH(X670,'玩法产出(新)'!$B$19:$B$25,0),6)*(1+V670)+OFFSET('玩法产出(新)'!$C$18,1+MATCH(X670,'玩法产出(新)'!$B$19:$B$25,0),6)*(V670))^AE670</f>
        <v>1053.03265420309</v>
      </c>
      <c r="U670" s="226">
        <f ca="1" t="shared" si="353"/>
        <v>0.186411456958594</v>
      </c>
      <c r="V670" s="226">
        <f ca="1">COUNTIF($X$124:$X670,X670)/(COUNTIF($X$124:$X$723,X670)+1)</f>
        <v>0.888659793814433</v>
      </c>
      <c r="W670" s="19">
        <v>30</v>
      </c>
      <c r="X670" s="19" t="s">
        <v>326</v>
      </c>
      <c r="Y670" s="19">
        <f t="shared" si="359"/>
        <v>55860</v>
      </c>
      <c r="Z670" s="19">
        <f ca="1" t="shared" si="335"/>
        <v>0</v>
      </c>
      <c r="AA670" s="282">
        <f ca="1" t="shared" si="336"/>
        <v>0</v>
      </c>
      <c r="AB670" s="282">
        <f ca="1" t="shared" si="337"/>
        <v>18</v>
      </c>
      <c r="AC670" s="282">
        <f ca="1" t="shared" si="338"/>
        <v>11.53545</v>
      </c>
      <c r="AD670" s="282">
        <f ca="1" t="shared" si="339"/>
        <v>2.8838625</v>
      </c>
      <c r="AE670" s="282">
        <f ca="1" t="shared" si="340"/>
        <v>0.720965625</v>
      </c>
      <c r="AF670" s="19" t="str">
        <f t="shared" si="341"/>
        <v>彩6</v>
      </c>
      <c r="AG670" s="19">
        <f>IFERROR(_xlfn.XLOOKUP(C670+1,[2]基因升级!$E$141:$E$500,[2]基因升级!$D$141:$D$500)-1,AG669)</f>
        <v>119</v>
      </c>
      <c r="AH670" s="19">
        <v>8</v>
      </c>
      <c r="AI670" s="19">
        <f t="shared" si="342"/>
        <v>10.5142500606751</v>
      </c>
      <c r="AJ670" s="19">
        <f t="shared" si="354"/>
        <v>0</v>
      </c>
      <c r="AK670" s="269">
        <v>2.0368</v>
      </c>
      <c r="AL670" s="287">
        <f t="shared" si="363"/>
        <v>23.5199999999997</v>
      </c>
      <c r="AM670" s="287">
        <f t="shared" si="364"/>
        <v>19.9199999999997</v>
      </c>
      <c r="AN670" s="287">
        <f t="shared" si="325"/>
        <v>16.3199999999998</v>
      </c>
      <c r="AO670" s="287">
        <f t="shared" si="360"/>
        <v>12.7199999999999</v>
      </c>
      <c r="AP670" s="287">
        <f t="shared" si="324"/>
        <v>9.11999999999998</v>
      </c>
      <c r="AQ670" s="19">
        <f t="shared" si="343"/>
        <v>4.91028218727019</v>
      </c>
      <c r="AR670" s="19">
        <f t="shared" si="344"/>
        <v>3.84879563621482</v>
      </c>
      <c r="AS670" s="19">
        <f t="shared" si="345"/>
        <v>3.01677730207629</v>
      </c>
      <c r="AT670" s="19">
        <f t="shared" si="346"/>
        <v>2.36462159868619</v>
      </c>
      <c r="AU670" s="19">
        <f t="shared" si="347"/>
        <v>1.85344649110324</v>
      </c>
      <c r="AV670" s="232">
        <f t="shared" si="327"/>
        <v>0.0399999999999991</v>
      </c>
      <c r="AW670" s="232">
        <f t="shared" si="328"/>
        <v>0.0399999999999991</v>
      </c>
      <c r="AX670" s="232">
        <f t="shared" si="329"/>
        <v>0.0399999999999991</v>
      </c>
      <c r="AY670" s="232">
        <f t="shared" si="330"/>
        <v>0.0399999999999991</v>
      </c>
      <c r="AZ670" s="232">
        <f t="shared" si="331"/>
        <v>0.0399999999999991</v>
      </c>
    </row>
    <row r="671" spans="1:52">
      <c r="A671" s="269"/>
      <c r="C671" s="19">
        <v>548</v>
      </c>
      <c r="D671" s="86">
        <f ca="1" t="shared" si="355"/>
        <v>308.984176103746</v>
      </c>
      <c r="E671" s="251">
        <f ca="1" t="shared" si="332"/>
        <v>0.37684866195227</v>
      </c>
      <c r="F671" s="269">
        <f ca="1" t="shared" si="348"/>
        <v>534.546509135904</v>
      </c>
      <c r="G671" s="283">
        <f ca="1" t="shared" si="349"/>
        <v>201.443136719122</v>
      </c>
      <c r="H671" s="279">
        <f ca="1" t="shared" si="350"/>
        <v>0.190293453540733</v>
      </c>
      <c r="I671" s="269">
        <f ca="1">SUM($J$125:J671)/SUM($H$125:H671)</f>
        <v>0.448788580337967</v>
      </c>
      <c r="J671" s="284">
        <f t="shared" si="356"/>
        <v>0.0460964415484142</v>
      </c>
      <c r="K671" s="19">
        <f t="shared" si="358"/>
        <v>55700</v>
      </c>
      <c r="L671" s="269">
        <f t="shared" si="351"/>
        <v>3.78499999999994</v>
      </c>
      <c r="M671" s="226">
        <f ca="1" t="shared" si="352"/>
        <v>1740.288</v>
      </c>
      <c r="N671" s="280">
        <f ca="1" t="shared" si="357"/>
        <v>0.144197011992347</v>
      </c>
      <c r="O671" s="226">
        <f t="shared" si="362"/>
        <v>844.8</v>
      </c>
      <c r="P671" s="19">
        <f ca="1" t="shared" si="326"/>
        <v>11.6</v>
      </c>
      <c r="Q671" s="226">
        <f ca="1" t="shared" si="361"/>
        <v>2.06</v>
      </c>
      <c r="R671" s="269">
        <f ca="1" t="shared" si="333"/>
        <v>1.09689267503203</v>
      </c>
      <c r="S671" s="266">
        <f ca="1" t="shared" si="334"/>
        <v>103.047455910349</v>
      </c>
      <c r="T671" s="226">
        <f ca="1">(1+OFFSET('玩法产出(新)'!$C$18,MATCH(X671,'玩法产出(新)'!$B$19:$B$25,0),1)*(1-V671)+OFFSET('玩法产出(新)'!$C$18,1+MATCH(X671,'玩法产出(新)'!$B$19:$B$25,0),1)*(V671))^AA671*(1+OFFSET('玩法产出(新)'!$C$18,MATCH(X671,'玩法产出(新)'!$B$19:$B$25,0),3)*(1-V671)+OFFSET('玩法产出(新)'!$C$18,1+MATCH(X671,'玩法产出(新)'!$B$19:$B$25,0),3)*(V671))^AB671*(1+OFFSET('玩法产出(新)'!$C$18,MATCH(X671,'玩法产出(新)'!$B$19:$B$25,0),4)*(1-V671)+OFFSET('玩法产出(新)'!$C$18,1+MATCH(X671,'玩法产出(新)'!$B$19:$B$25,0),4)*(V671))^AC671*(1+OFFSET('玩法产出(新)'!$C$18,MATCH(X671,'玩法产出(新)'!$B$19:$B$25,0),5)*(1+V671)+OFFSET('玩法产出(新)'!$C$18,1+MATCH(X671,'玩法产出(新)'!$B$19:$B$25,5),1)*(V671))^AD671*(1+OFFSET('玩法产出(新)'!$C$18,MATCH(X671,'玩法产出(新)'!$B$19:$B$25,0),6)*(1+V671)+OFFSET('玩法产出(新)'!$C$18,1+MATCH(X671,'玩法产出(新)'!$B$19:$B$25,0),6)*(V671))^AE671</f>
        <v>1066.40834641994</v>
      </c>
      <c r="U671" s="226">
        <f ca="1" t="shared" si="353"/>
        <v>0.186555208411509</v>
      </c>
      <c r="V671" s="226">
        <f ca="1">COUNTIF($X$124:$X671,X671)/(COUNTIF($X$124:$X$723,X671)+1)</f>
        <v>0.890721649484536</v>
      </c>
      <c r="W671" s="19">
        <v>30</v>
      </c>
      <c r="X671" s="19" t="s">
        <v>326</v>
      </c>
      <c r="Y671" s="19">
        <f t="shared" si="359"/>
        <v>55960</v>
      </c>
      <c r="Z671" s="19">
        <f ca="1" t="shared" si="335"/>
        <v>0</v>
      </c>
      <c r="AA671" s="282">
        <f ca="1" t="shared" si="336"/>
        <v>0</v>
      </c>
      <c r="AB671" s="282">
        <f ca="1" t="shared" si="337"/>
        <v>18</v>
      </c>
      <c r="AC671" s="282">
        <f ca="1" t="shared" si="338"/>
        <v>11.5563</v>
      </c>
      <c r="AD671" s="282">
        <f ca="1" t="shared" si="339"/>
        <v>2.889075</v>
      </c>
      <c r="AE671" s="282">
        <f ca="1" t="shared" si="340"/>
        <v>0.72226875</v>
      </c>
      <c r="AF671" s="19" t="str">
        <f t="shared" si="341"/>
        <v>彩6</v>
      </c>
      <c r="AG671" s="19">
        <f>IFERROR(_xlfn.XLOOKUP(C671+1,[2]基因升级!$E$141:$E$500,[2]基因升级!$D$141:$D$500)-1,AG670)</f>
        <v>119</v>
      </c>
      <c r="AH671" s="19">
        <v>8</v>
      </c>
      <c r="AI671" s="19">
        <f t="shared" si="342"/>
        <v>10.5142500606751</v>
      </c>
      <c r="AJ671" s="19">
        <f t="shared" si="354"/>
        <v>0</v>
      </c>
      <c r="AK671" s="269">
        <v>2.0368</v>
      </c>
      <c r="AL671" s="287">
        <f t="shared" si="363"/>
        <v>23.5599999999997</v>
      </c>
      <c r="AM671" s="287">
        <f t="shared" si="364"/>
        <v>19.9599999999997</v>
      </c>
      <c r="AN671" s="287">
        <f t="shared" si="325"/>
        <v>16.3599999999998</v>
      </c>
      <c r="AO671" s="287">
        <f t="shared" si="360"/>
        <v>12.7599999999999</v>
      </c>
      <c r="AP671" s="287">
        <f t="shared" ref="AP671:AP723" si="365">AO581</f>
        <v>9.15999999999998</v>
      </c>
      <c r="AQ671" s="19">
        <f t="shared" si="343"/>
        <v>4.92358910797022</v>
      </c>
      <c r="AR671" s="19">
        <f t="shared" si="344"/>
        <v>3.85922591626156</v>
      </c>
      <c r="AS671" s="19">
        <f t="shared" si="345"/>
        <v>3.0249528029533</v>
      </c>
      <c r="AT671" s="19">
        <f t="shared" si="346"/>
        <v>2.37102975017305</v>
      </c>
      <c r="AU671" s="19">
        <f t="shared" si="347"/>
        <v>1.85846935222165</v>
      </c>
      <c r="AV671" s="232">
        <f t="shared" si="327"/>
        <v>0.0399999999999991</v>
      </c>
      <c r="AW671" s="232">
        <f t="shared" si="328"/>
        <v>0.0399999999999991</v>
      </c>
      <c r="AX671" s="232">
        <f t="shared" si="329"/>
        <v>0.0399999999999991</v>
      </c>
      <c r="AY671" s="232">
        <f t="shared" si="330"/>
        <v>0.0399999999999991</v>
      </c>
      <c r="AZ671" s="232">
        <f t="shared" si="331"/>
        <v>0.0399999999999991</v>
      </c>
    </row>
    <row r="672" spans="1:52">
      <c r="A672" s="269"/>
      <c r="C672" s="19">
        <v>549</v>
      </c>
      <c r="D672" s="86">
        <f ca="1" t="shared" si="355"/>
        <v>309.359701792247</v>
      </c>
      <c r="E672" s="251">
        <f ca="1" t="shared" si="332"/>
        <v>0.375525688500768</v>
      </c>
      <c r="F672" s="269">
        <f ca="1" t="shared" si="348"/>
        <v>536.932544659001</v>
      </c>
      <c r="G672" s="283">
        <f ca="1" t="shared" si="349"/>
        <v>201.631963511541</v>
      </c>
      <c r="H672" s="279">
        <f ca="1" t="shared" si="350"/>
        <v>0.188826792418581</v>
      </c>
      <c r="I672" s="269">
        <f ca="1">SUM($J$125:J672)/SUM($H$125:H672)</f>
        <v>0.448586524807482</v>
      </c>
      <c r="J672" s="284">
        <f t="shared" si="356"/>
        <v>0.0460230100540002</v>
      </c>
      <c r="K672" s="19">
        <f t="shared" si="358"/>
        <v>55800</v>
      </c>
      <c r="L672" s="269">
        <f t="shared" si="351"/>
        <v>3.78999999999994</v>
      </c>
      <c r="M672" s="226">
        <f ca="1" t="shared" si="352"/>
        <v>1757.184</v>
      </c>
      <c r="N672" s="280">
        <f ca="1" t="shared" si="357"/>
        <v>0.142803782364567</v>
      </c>
      <c r="O672" s="226">
        <f t="shared" si="362"/>
        <v>844.8</v>
      </c>
      <c r="P672" s="19">
        <f ca="1" t="shared" si="326"/>
        <v>11.8</v>
      </c>
      <c r="Q672" s="226">
        <f ca="1" t="shared" si="361"/>
        <v>2.08</v>
      </c>
      <c r="R672" s="269">
        <f ca="1" t="shared" si="333"/>
        <v>1.09887999873391</v>
      </c>
      <c r="S672" s="266">
        <f ca="1" t="shared" si="334"/>
        <v>103.234154806431</v>
      </c>
      <c r="T672" s="226">
        <f ca="1">(1+OFFSET('玩法产出(新)'!$C$18,MATCH(X672,'玩法产出(新)'!$B$19:$B$25,0),1)*(1-V672)+OFFSET('玩法产出(新)'!$C$18,1+MATCH(X672,'玩法产出(新)'!$B$19:$B$25,0),1)*(V672))^AA672*(1+OFFSET('玩法产出(新)'!$C$18,MATCH(X672,'玩法产出(新)'!$B$19:$B$25,0),3)*(1-V672)+OFFSET('玩法产出(新)'!$C$18,1+MATCH(X672,'玩法产出(新)'!$B$19:$B$25,0),3)*(V672))^AB672*(1+OFFSET('玩法产出(新)'!$C$18,MATCH(X672,'玩法产出(新)'!$B$19:$B$25,0),4)*(1-V672)+OFFSET('玩法产出(新)'!$C$18,1+MATCH(X672,'玩法产出(新)'!$B$19:$B$25,0),4)*(V672))^AC672*(1+OFFSET('玩法产出(新)'!$C$18,MATCH(X672,'玩法产出(新)'!$B$19:$B$25,0),5)*(1+V672)+OFFSET('玩法产出(新)'!$C$18,1+MATCH(X672,'玩法产出(新)'!$B$19:$B$25,5),1)*(V672))^AD672*(1+OFFSET('玩法产出(新)'!$C$18,MATCH(X672,'玩法产出(新)'!$B$19:$B$25,0),6)*(1+V672)+OFFSET('玩法产出(新)'!$C$18,1+MATCH(X672,'玩法产出(新)'!$B$19:$B$25,0),6)*(V672))^AE672</f>
        <v>1079.96443664072</v>
      </c>
      <c r="U672" s="226">
        <f ca="1" t="shared" si="353"/>
        <v>0.186698896082201</v>
      </c>
      <c r="V672" s="226">
        <f ca="1">COUNTIF($X$124:$X672,X672)/(COUNTIF($X$124:$X$723,X672)+1)</f>
        <v>0.892783505154639</v>
      </c>
      <c r="W672" s="19">
        <v>30</v>
      </c>
      <c r="X672" s="19" t="s">
        <v>326</v>
      </c>
      <c r="Y672" s="19">
        <f t="shared" si="359"/>
        <v>56060</v>
      </c>
      <c r="Z672" s="19">
        <f ca="1" t="shared" si="335"/>
        <v>0</v>
      </c>
      <c r="AA672" s="282">
        <f ca="1" t="shared" si="336"/>
        <v>0</v>
      </c>
      <c r="AB672" s="282">
        <f ca="1" t="shared" si="337"/>
        <v>18</v>
      </c>
      <c r="AC672" s="282">
        <f ca="1" t="shared" si="338"/>
        <v>11.57715</v>
      </c>
      <c r="AD672" s="282">
        <f ca="1" t="shared" si="339"/>
        <v>2.8942875</v>
      </c>
      <c r="AE672" s="282">
        <f ca="1" t="shared" si="340"/>
        <v>0.723571875</v>
      </c>
      <c r="AF672" s="19" t="str">
        <f t="shared" si="341"/>
        <v>彩6</v>
      </c>
      <c r="AG672" s="19">
        <f>IFERROR(_xlfn.XLOOKUP(C672+1,[2]基因升级!$E$141:$E$500,[2]基因升级!$D$141:$D$500)-1,AG671)</f>
        <v>120</v>
      </c>
      <c r="AH672" s="19">
        <v>8</v>
      </c>
      <c r="AI672" s="19">
        <f t="shared" si="342"/>
        <v>10.5142500606751</v>
      </c>
      <c r="AJ672" s="19">
        <f t="shared" si="354"/>
        <v>0</v>
      </c>
      <c r="AK672" s="269">
        <v>2.0368</v>
      </c>
      <c r="AL672" s="287">
        <f t="shared" si="363"/>
        <v>23.5999999999997</v>
      </c>
      <c r="AM672" s="287">
        <f t="shared" si="364"/>
        <v>19.9999999999997</v>
      </c>
      <c r="AN672" s="287">
        <f t="shared" si="325"/>
        <v>16.3999999999998</v>
      </c>
      <c r="AO672" s="287">
        <f t="shared" si="360"/>
        <v>12.7999999999999</v>
      </c>
      <c r="AP672" s="287">
        <f t="shared" si="365"/>
        <v>9.19999999999997</v>
      </c>
      <c r="AQ672" s="19">
        <f t="shared" si="343"/>
        <v>4.93693209057704</v>
      </c>
      <c r="AR672" s="19">
        <f t="shared" si="344"/>
        <v>3.86968446248612</v>
      </c>
      <c r="AS672" s="19">
        <f t="shared" si="345"/>
        <v>3.03315045953087</v>
      </c>
      <c r="AT672" s="19">
        <f t="shared" si="346"/>
        <v>2.3774552678235</v>
      </c>
      <c r="AU672" s="19">
        <f t="shared" si="347"/>
        <v>1.86350582535095</v>
      </c>
      <c r="AV672" s="232">
        <f t="shared" si="327"/>
        <v>0.0399999999999991</v>
      </c>
      <c r="AW672" s="232">
        <f t="shared" si="328"/>
        <v>0.0399999999999991</v>
      </c>
      <c r="AX672" s="232">
        <f t="shared" si="329"/>
        <v>0.0399999999999991</v>
      </c>
      <c r="AY672" s="232">
        <f t="shared" si="330"/>
        <v>0.0399999999999991</v>
      </c>
      <c r="AZ672" s="232">
        <f t="shared" si="331"/>
        <v>0.0399999999999991</v>
      </c>
    </row>
    <row r="673" spans="1:52">
      <c r="A673" s="269"/>
      <c r="C673" s="19">
        <v>550</v>
      </c>
      <c r="D673" s="86">
        <f ca="1" t="shared" si="355"/>
        <v>309.733931347488</v>
      </c>
      <c r="E673" s="251">
        <f ca="1" t="shared" si="332"/>
        <v>0.374229555240948</v>
      </c>
      <c r="F673" s="269">
        <f ca="1" t="shared" si="348"/>
        <v>539.292922540017</v>
      </c>
      <c r="G673" s="283">
        <f ca="1" t="shared" si="349"/>
        <v>201.819350546742</v>
      </c>
      <c r="H673" s="279">
        <f ca="1" t="shared" si="350"/>
        <v>0.187387035200743</v>
      </c>
      <c r="I673" s="269">
        <f ca="1">SUM($J$125:J673)/SUM($H$125:H673)</f>
        <v>0.448387850994645</v>
      </c>
      <c r="J673" s="284">
        <f t="shared" si="356"/>
        <v>0.045949817165635</v>
      </c>
      <c r="K673" s="19">
        <f t="shared" si="358"/>
        <v>55900</v>
      </c>
      <c r="L673" s="269">
        <f t="shared" si="351"/>
        <v>3.79499999999994</v>
      </c>
      <c r="M673" s="226">
        <f ca="1" t="shared" si="352"/>
        <v>1774.08</v>
      </c>
      <c r="N673" s="280">
        <f ca="1" t="shared" si="357"/>
        <v>0.141437218035108</v>
      </c>
      <c r="O673" s="226">
        <f t="shared" si="362"/>
        <v>844.8</v>
      </c>
      <c r="P673" s="19">
        <f ca="1" t="shared" si="326"/>
        <v>12</v>
      </c>
      <c r="Q673" s="226">
        <f ca="1" t="shared" si="361"/>
        <v>2.1</v>
      </c>
      <c r="R673" s="269">
        <f ca="1" t="shared" si="333"/>
        <v>1.10086885124663</v>
      </c>
      <c r="S673" s="266">
        <f ca="1" t="shared" si="334"/>
        <v>103.420997326471</v>
      </c>
      <c r="T673" s="226">
        <f ca="1">(1+OFFSET('玩法产出(新)'!$C$18,MATCH(X673,'玩法产出(新)'!$B$19:$B$25,0),1)*(1-V673)+OFFSET('玩法产出(新)'!$C$18,1+MATCH(X673,'玩法产出(新)'!$B$19:$B$25,0),1)*(V673))^AA673*(1+OFFSET('玩法产出(新)'!$C$18,MATCH(X673,'玩法产出(新)'!$B$19:$B$25,0),3)*(1-V673)+OFFSET('玩法产出(新)'!$C$18,1+MATCH(X673,'玩法产出(新)'!$B$19:$B$25,0),3)*(V673))^AB673*(1+OFFSET('玩法产出(新)'!$C$18,MATCH(X673,'玩法产出(新)'!$B$19:$B$25,0),4)*(1-V673)+OFFSET('玩法产出(新)'!$C$18,1+MATCH(X673,'玩法产出(新)'!$B$19:$B$25,0),4)*(V673))^AC673*(1+OFFSET('玩法产出(新)'!$C$18,MATCH(X673,'玩法产出(新)'!$B$19:$B$25,0),5)*(1+V673)+OFFSET('玩法产出(新)'!$C$18,1+MATCH(X673,'玩法产出(新)'!$B$19:$B$25,5),1)*(V673))^AD673*(1+OFFSET('玩法产出(新)'!$C$18,MATCH(X673,'玩法产出(新)'!$B$19:$B$25,0),6)*(1+V673)+OFFSET('玩法产出(新)'!$C$18,1+MATCH(X673,'玩法产出(新)'!$B$19:$B$25,0),6)*(V673))^AE673</f>
        <v>1093.70347860796</v>
      </c>
      <c r="U673" s="226">
        <f ca="1" t="shared" si="353"/>
        <v>0.186842520040205</v>
      </c>
      <c r="V673" s="226">
        <f ca="1">COUNTIF($X$124:$X673,X673)/(COUNTIF($X$124:$X$723,X673)+1)</f>
        <v>0.894845360824742</v>
      </c>
      <c r="W673" s="19">
        <v>30</v>
      </c>
      <c r="X673" s="19" t="s">
        <v>326</v>
      </c>
      <c r="Y673" s="19">
        <f t="shared" si="359"/>
        <v>56160</v>
      </c>
      <c r="Z673" s="19">
        <f ca="1" t="shared" si="335"/>
        <v>0</v>
      </c>
      <c r="AA673" s="282">
        <f ca="1" t="shared" si="336"/>
        <v>0</v>
      </c>
      <c r="AB673" s="282">
        <f ca="1" t="shared" si="337"/>
        <v>18</v>
      </c>
      <c r="AC673" s="282">
        <f ca="1" t="shared" si="338"/>
        <v>11.598</v>
      </c>
      <c r="AD673" s="282">
        <f ca="1" t="shared" si="339"/>
        <v>2.8995</v>
      </c>
      <c r="AE673" s="282">
        <f ca="1" t="shared" si="340"/>
        <v>0.724875</v>
      </c>
      <c r="AF673" s="19" t="str">
        <f t="shared" si="341"/>
        <v>彩6</v>
      </c>
      <c r="AG673" s="19">
        <f>IFERROR(_xlfn.XLOOKUP(C673+1,[2]基因升级!$E$141:$E$500,[2]基因升级!$D$141:$D$500)-1,AG672)</f>
        <v>120</v>
      </c>
      <c r="AH673" s="19">
        <v>8</v>
      </c>
      <c r="AI673" s="19">
        <f t="shared" si="342"/>
        <v>10.5142500606751</v>
      </c>
      <c r="AJ673" s="19">
        <f t="shared" si="354"/>
        <v>0</v>
      </c>
      <c r="AK673" s="269">
        <v>2.0368</v>
      </c>
      <c r="AL673" s="287">
        <f t="shared" si="363"/>
        <v>23.6399999999997</v>
      </c>
      <c r="AM673" s="287">
        <f t="shared" si="364"/>
        <v>20.0399999999997</v>
      </c>
      <c r="AN673" s="287">
        <f t="shared" si="325"/>
        <v>16.4399999999998</v>
      </c>
      <c r="AO673" s="287">
        <f t="shared" si="360"/>
        <v>12.8399999999999</v>
      </c>
      <c r="AP673" s="287">
        <f t="shared" si="365"/>
        <v>9.23999999999997</v>
      </c>
      <c r="AQ673" s="19">
        <f t="shared" si="343"/>
        <v>4.95031123281881</v>
      </c>
      <c r="AR673" s="19">
        <f t="shared" si="344"/>
        <v>3.88017135149016</v>
      </c>
      <c r="AS673" s="19">
        <f t="shared" si="345"/>
        <v>3.04137033185122</v>
      </c>
      <c r="AT673" s="19">
        <f t="shared" si="346"/>
        <v>2.38389819870002</v>
      </c>
      <c r="AU673" s="19">
        <f t="shared" si="347"/>
        <v>1.86855594737984</v>
      </c>
      <c r="AV673" s="232">
        <f t="shared" si="327"/>
        <v>0.0399999999999991</v>
      </c>
      <c r="AW673" s="232">
        <f t="shared" si="328"/>
        <v>0.0399999999999991</v>
      </c>
      <c r="AX673" s="232">
        <f t="shared" si="329"/>
        <v>0.0399999999999991</v>
      </c>
      <c r="AY673" s="232">
        <f t="shared" si="330"/>
        <v>0.0399999999999991</v>
      </c>
      <c r="AZ673" s="232">
        <f t="shared" si="331"/>
        <v>0.0399999999999991</v>
      </c>
    </row>
    <row r="674" spans="1:52">
      <c r="A674" s="269"/>
      <c r="C674" s="19">
        <v>551</v>
      </c>
      <c r="D674" s="86">
        <f ca="1" t="shared" si="355"/>
        <v>310.106890850269</v>
      </c>
      <c r="E674" s="251">
        <f ca="1" t="shared" si="332"/>
        <v>0.372959502780722</v>
      </c>
      <c r="F674" s="269">
        <f ca="1" t="shared" si="348"/>
        <v>541.628038602182</v>
      </c>
      <c r="G674" s="283">
        <f ca="1" t="shared" si="349"/>
        <v>202.005323969167</v>
      </c>
      <c r="H674" s="279">
        <f ca="1" t="shared" si="350"/>
        <v>0.185973422425917</v>
      </c>
      <c r="I674" s="269">
        <f ca="1">SUM($J$125:J674)/SUM($H$125:H674)</f>
        <v>0.448192484737354</v>
      </c>
      <c r="J674" s="284">
        <f t="shared" si="356"/>
        <v>0.0458768617000089</v>
      </c>
      <c r="K674" s="19">
        <f t="shared" si="358"/>
        <v>56000</v>
      </c>
      <c r="L674" s="269">
        <f t="shared" si="351"/>
        <v>3.79999999999994</v>
      </c>
      <c r="M674" s="226">
        <f ca="1" t="shared" si="352"/>
        <v>1790.976</v>
      </c>
      <c r="N674" s="280">
        <f ca="1" t="shared" si="357"/>
        <v>0.140096560725894</v>
      </c>
      <c r="O674" s="226">
        <f t="shared" si="362"/>
        <v>844.8</v>
      </c>
      <c r="P674" s="19">
        <f ca="1" t="shared" si="326"/>
        <v>12.2</v>
      </c>
      <c r="Q674" s="226">
        <f ca="1" t="shared" si="361"/>
        <v>2.12</v>
      </c>
      <c r="R674" s="269">
        <f ca="1" t="shared" si="333"/>
        <v>1.10285923189273</v>
      </c>
      <c r="S674" s="266">
        <f ca="1" t="shared" si="334"/>
        <v>103.607983406826</v>
      </c>
      <c r="T674" s="226">
        <f ca="1">(1+OFFSET('玩法产出(新)'!$C$18,MATCH(X674,'玩法产出(新)'!$B$19:$B$25,0),1)*(1-V674)+OFFSET('玩法产出(新)'!$C$18,1+MATCH(X674,'玩法产出(新)'!$B$19:$B$25,0),1)*(V674))^AA674*(1+OFFSET('玩法产出(新)'!$C$18,MATCH(X674,'玩法产出(新)'!$B$19:$B$25,0),3)*(1-V674)+OFFSET('玩法产出(新)'!$C$18,1+MATCH(X674,'玩法产出(新)'!$B$19:$B$25,0),3)*(V674))^AB674*(1+OFFSET('玩法产出(新)'!$C$18,MATCH(X674,'玩法产出(新)'!$B$19:$B$25,0),4)*(1-V674)+OFFSET('玩法产出(新)'!$C$18,1+MATCH(X674,'玩法产出(新)'!$B$19:$B$25,0),4)*(V674))^AC674*(1+OFFSET('玩法产出(新)'!$C$18,MATCH(X674,'玩法产出(新)'!$B$19:$B$25,0),5)*(1+V674)+OFFSET('玩法产出(新)'!$C$18,1+MATCH(X674,'玩法产出(新)'!$B$19:$B$25,5),1)*(V674))^AD674*(1+OFFSET('玩法产出(新)'!$C$18,MATCH(X674,'玩法产出(新)'!$B$19:$B$25,0),6)*(1+V674)+OFFSET('玩法产出(新)'!$C$18,1+MATCH(X674,'玩法产出(新)'!$B$19:$B$25,0),6)*(V674))^AE674</f>
        <v>1107.62806373468</v>
      </c>
      <c r="U674" s="226">
        <f ca="1" t="shared" si="353"/>
        <v>0.186986080354819</v>
      </c>
      <c r="V674" s="226">
        <f ca="1">COUNTIF($X$124:$X674,X674)/(COUNTIF($X$124:$X$723,X674)+1)</f>
        <v>0.896907216494845</v>
      </c>
      <c r="W674" s="19">
        <v>30</v>
      </c>
      <c r="X674" s="19" t="s">
        <v>326</v>
      </c>
      <c r="Y674" s="19">
        <f t="shared" si="359"/>
        <v>56260</v>
      </c>
      <c r="Z674" s="19">
        <f ca="1" t="shared" si="335"/>
        <v>0</v>
      </c>
      <c r="AA674" s="282">
        <f ca="1" t="shared" si="336"/>
        <v>0</v>
      </c>
      <c r="AB674" s="282">
        <f ca="1" t="shared" si="337"/>
        <v>18</v>
      </c>
      <c r="AC674" s="282">
        <f ca="1" t="shared" si="338"/>
        <v>11.61885</v>
      </c>
      <c r="AD674" s="282">
        <f ca="1" t="shared" si="339"/>
        <v>2.9047125</v>
      </c>
      <c r="AE674" s="282">
        <f ca="1" t="shared" si="340"/>
        <v>0.726178125</v>
      </c>
      <c r="AF674" s="19" t="str">
        <f t="shared" si="341"/>
        <v>彩6</v>
      </c>
      <c r="AG674" s="19">
        <f>IFERROR(_xlfn.XLOOKUP(C674+1,[2]基因升级!$E$141:$E$500,[2]基因升级!$D$141:$D$500)-1,AG673)</f>
        <v>120</v>
      </c>
      <c r="AH674" s="19">
        <v>8</v>
      </c>
      <c r="AI674" s="19">
        <f t="shared" si="342"/>
        <v>10.5142500606751</v>
      </c>
      <c r="AJ674" s="19">
        <f t="shared" si="354"/>
        <v>0</v>
      </c>
      <c r="AK674" s="269">
        <v>2.0368</v>
      </c>
      <c r="AL674" s="287">
        <f t="shared" si="363"/>
        <v>23.6799999999997</v>
      </c>
      <c r="AM674" s="287">
        <f t="shared" si="364"/>
        <v>20.0799999999997</v>
      </c>
      <c r="AN674" s="287">
        <f t="shared" si="325"/>
        <v>16.4799999999998</v>
      </c>
      <c r="AO674" s="287">
        <f t="shared" si="360"/>
        <v>12.8799999999999</v>
      </c>
      <c r="AP674" s="287">
        <f t="shared" si="365"/>
        <v>9.27999999999997</v>
      </c>
      <c r="AQ674" s="19">
        <f t="shared" si="343"/>
        <v>4.96372663268857</v>
      </c>
      <c r="AR674" s="19">
        <f t="shared" si="344"/>
        <v>3.89068666008295</v>
      </c>
      <c r="AS674" s="19">
        <f t="shared" si="345"/>
        <v>3.04961248011926</v>
      </c>
      <c r="AT674" s="19">
        <f t="shared" si="346"/>
        <v>2.39035858999266</v>
      </c>
      <c r="AU674" s="19">
        <f t="shared" si="347"/>
        <v>1.87361975529699</v>
      </c>
      <c r="AV674" s="232">
        <f t="shared" si="327"/>
        <v>0.0399999999999991</v>
      </c>
      <c r="AW674" s="232">
        <f t="shared" si="328"/>
        <v>0.0399999999999991</v>
      </c>
      <c r="AX674" s="232">
        <f t="shared" si="329"/>
        <v>0.0399999999999991</v>
      </c>
      <c r="AY674" s="232">
        <f t="shared" si="330"/>
        <v>0.0399999999999991</v>
      </c>
      <c r="AZ674" s="232">
        <f t="shared" si="331"/>
        <v>0.0399999999999991</v>
      </c>
    </row>
    <row r="675" spans="1:52">
      <c r="A675" s="269"/>
      <c r="C675" s="19">
        <v>552</v>
      </c>
      <c r="D675" s="86">
        <f ca="1" t="shared" si="355"/>
        <v>310.478605650486</v>
      </c>
      <c r="E675" s="251">
        <f ca="1" t="shared" si="332"/>
        <v>0.371714800216795</v>
      </c>
      <c r="F675" s="269">
        <f ca="1" t="shared" si="348"/>
        <v>543.938280300827</v>
      </c>
      <c r="G675" s="283">
        <f ca="1" t="shared" si="349"/>
        <v>202.189909192289</v>
      </c>
      <c r="H675" s="279">
        <f ca="1" t="shared" si="350"/>
        <v>0.184585223121644</v>
      </c>
      <c r="I675" s="269">
        <f ca="1">SUM($J$125:J675)/SUM($H$125:H675)</f>
        <v>0.44800035411265</v>
      </c>
      <c r="J675" s="284">
        <f t="shared" si="356"/>
        <v>0.0458041424816571</v>
      </c>
      <c r="K675" s="19">
        <f t="shared" si="358"/>
        <v>56100</v>
      </c>
      <c r="L675" s="269">
        <f t="shared" si="351"/>
        <v>3.80499999999994</v>
      </c>
      <c r="M675" s="226">
        <f ca="1" t="shared" si="352"/>
        <v>1807.872</v>
      </c>
      <c r="N675" s="280">
        <f ca="1" t="shared" si="357"/>
        <v>0.138781080640015</v>
      </c>
      <c r="O675" s="226">
        <f t="shared" si="362"/>
        <v>844.8</v>
      </c>
      <c r="P675" s="19">
        <f ca="1" t="shared" si="326"/>
        <v>12.4</v>
      </c>
      <c r="Q675" s="226">
        <f ca="1" t="shared" si="361"/>
        <v>2.14</v>
      </c>
      <c r="R675" s="269">
        <f ca="1" t="shared" si="333"/>
        <v>1.1048511399955</v>
      </c>
      <c r="S675" s="266">
        <f ca="1" t="shared" si="334"/>
        <v>103.795112983921</v>
      </c>
      <c r="T675" s="226">
        <f ca="1">(1+OFFSET('玩法产出(新)'!$C$18,MATCH(X675,'玩法产出(新)'!$B$19:$B$25,0),1)*(1-V675)+OFFSET('玩法产出(新)'!$C$18,1+MATCH(X675,'玩法产出(新)'!$B$19:$B$25,0),1)*(V675))^AA675*(1+OFFSET('玩法产出(新)'!$C$18,MATCH(X675,'玩法产出(新)'!$B$19:$B$25,0),3)*(1-V675)+OFFSET('玩法产出(新)'!$C$18,1+MATCH(X675,'玩法产出(新)'!$B$19:$B$25,0),3)*(V675))^AB675*(1+OFFSET('玩法产出(新)'!$C$18,MATCH(X675,'玩法产出(新)'!$B$19:$B$25,0),4)*(1-V675)+OFFSET('玩法产出(新)'!$C$18,1+MATCH(X675,'玩法产出(新)'!$B$19:$B$25,0),4)*(V675))^AC675*(1+OFFSET('玩法产出(新)'!$C$18,MATCH(X675,'玩法产出(新)'!$B$19:$B$25,0),5)*(1+V675)+OFFSET('玩法产出(新)'!$C$18,1+MATCH(X675,'玩法产出(新)'!$B$19:$B$25,5),1)*(V675))^AD675*(1+OFFSET('玩法产出(新)'!$C$18,MATCH(X675,'玩法产出(新)'!$B$19:$B$25,0),6)*(1+V675)+OFFSET('玩法产出(新)'!$C$18,1+MATCH(X675,'玩法产出(新)'!$B$19:$B$25,0),6)*(V675))^AE675</f>
        <v>1121.74082168044</v>
      </c>
      <c r="U675" s="226">
        <f ca="1" t="shared" si="353"/>
        <v>0.187129577095122</v>
      </c>
      <c r="V675" s="226">
        <f ca="1">COUNTIF($X$124:$X675,X675)/(COUNTIF($X$124:$X$723,X675)+1)</f>
        <v>0.898969072164948</v>
      </c>
      <c r="W675" s="19">
        <v>30</v>
      </c>
      <c r="X675" s="19" t="s">
        <v>326</v>
      </c>
      <c r="Y675" s="19">
        <f t="shared" si="359"/>
        <v>56360</v>
      </c>
      <c r="Z675" s="19">
        <f ca="1" t="shared" si="335"/>
        <v>0</v>
      </c>
      <c r="AA675" s="282">
        <f ca="1" t="shared" si="336"/>
        <v>0</v>
      </c>
      <c r="AB675" s="282">
        <f ca="1" t="shared" si="337"/>
        <v>18</v>
      </c>
      <c r="AC675" s="282">
        <f ca="1" t="shared" si="338"/>
        <v>11.6397</v>
      </c>
      <c r="AD675" s="282">
        <f ca="1" t="shared" si="339"/>
        <v>2.909925</v>
      </c>
      <c r="AE675" s="282">
        <f ca="1" t="shared" si="340"/>
        <v>0.72748125</v>
      </c>
      <c r="AF675" s="19" t="str">
        <f t="shared" si="341"/>
        <v>彩6</v>
      </c>
      <c r="AG675" s="19">
        <f>IFERROR(_xlfn.XLOOKUP(C675+1,[2]基因升级!$E$141:$E$500,[2]基因升级!$D$141:$D$500)-1,AG674)</f>
        <v>120</v>
      </c>
      <c r="AH675" s="19">
        <v>8</v>
      </c>
      <c r="AI675" s="19">
        <f t="shared" si="342"/>
        <v>10.5142500606751</v>
      </c>
      <c r="AJ675" s="19">
        <f t="shared" si="354"/>
        <v>0</v>
      </c>
      <c r="AK675" s="269">
        <v>2.0368</v>
      </c>
      <c r="AL675" s="287">
        <f t="shared" si="363"/>
        <v>23.7199999999997</v>
      </c>
      <c r="AM675" s="287">
        <f t="shared" si="364"/>
        <v>20.1199999999997</v>
      </c>
      <c r="AN675" s="287">
        <f t="shared" si="325"/>
        <v>16.5199999999998</v>
      </c>
      <c r="AO675" s="287">
        <f t="shared" si="360"/>
        <v>12.9199999999999</v>
      </c>
      <c r="AP675" s="287">
        <f t="shared" si="365"/>
        <v>9.31999999999997</v>
      </c>
      <c r="AQ675" s="19">
        <f t="shared" si="343"/>
        <v>4.9771783884449</v>
      </c>
      <c r="AR675" s="19">
        <f t="shared" si="344"/>
        <v>3.90123046528188</v>
      </c>
      <c r="AS675" s="19">
        <f t="shared" si="345"/>
        <v>3.05787696470305</v>
      </c>
      <c r="AT675" s="19">
        <f t="shared" si="346"/>
        <v>2.39683648901934</v>
      </c>
      <c r="AU675" s="19">
        <f t="shared" si="347"/>
        <v>1.87869728619132</v>
      </c>
      <c r="AV675" s="232">
        <f t="shared" si="327"/>
        <v>0.0399999999999991</v>
      </c>
      <c r="AW675" s="232">
        <f t="shared" si="328"/>
        <v>0.0399999999999991</v>
      </c>
      <c r="AX675" s="232">
        <f t="shared" si="329"/>
        <v>0.0399999999999991</v>
      </c>
      <c r="AY675" s="232">
        <f t="shared" si="330"/>
        <v>0.0399999999999991</v>
      </c>
      <c r="AZ675" s="232">
        <f t="shared" si="331"/>
        <v>0.0399999999999991</v>
      </c>
    </row>
    <row r="676" spans="1:52">
      <c r="A676" s="269"/>
      <c r="C676" s="19">
        <v>553</v>
      </c>
      <c r="D676" s="86">
        <f ca="1" t="shared" si="355"/>
        <v>310.849100394296</v>
      </c>
      <c r="E676" s="251">
        <f ca="1" t="shared" si="332"/>
        <v>0.37049474381002</v>
      </c>
      <c r="F676" s="269">
        <f ca="1" t="shared" si="348"/>
        <v>546.22402694474</v>
      </c>
      <c r="G676" s="283">
        <f ca="1" t="shared" si="349"/>
        <v>202.373130925769</v>
      </c>
      <c r="H676" s="279">
        <f ca="1" t="shared" si="350"/>
        <v>0.183221733479741</v>
      </c>
      <c r="I676" s="269">
        <f ca="1">SUM($J$125:J676)/SUM($H$125:H676)</f>
        <v>0.447811389349421</v>
      </c>
      <c r="J676" s="284">
        <f t="shared" si="356"/>
        <v>0.0457316583430156</v>
      </c>
      <c r="K676" s="19">
        <f t="shared" si="358"/>
        <v>56200</v>
      </c>
      <c r="L676" s="269">
        <f t="shared" si="351"/>
        <v>3.80999999999994</v>
      </c>
      <c r="M676" s="226">
        <f ca="1" t="shared" si="352"/>
        <v>1824.768</v>
      </c>
      <c r="N676" s="280">
        <f ca="1" t="shared" si="357"/>
        <v>0.137490075136725</v>
      </c>
      <c r="O676" s="226">
        <f t="shared" si="362"/>
        <v>844.8</v>
      </c>
      <c r="P676" s="19">
        <f ca="1" t="shared" si="326"/>
        <v>12.6</v>
      </c>
      <c r="Q676" s="226">
        <f ca="1" t="shared" si="361"/>
        <v>2.16</v>
      </c>
      <c r="R676" s="269">
        <f ca="1" t="shared" si="333"/>
        <v>1.10684457487895</v>
      </c>
      <c r="S676" s="266">
        <f ca="1" t="shared" si="334"/>
        <v>103.982385994252</v>
      </c>
      <c r="T676" s="226">
        <f ca="1">(1+OFFSET('玩法产出(新)'!$C$18,MATCH(X676,'玩法产出(新)'!$B$19:$B$25,0),1)*(1-V676)+OFFSET('玩法产出(新)'!$C$18,1+MATCH(X676,'玩法产出(新)'!$B$19:$B$25,0),1)*(V676))^AA676*(1+OFFSET('玩法产出(新)'!$C$18,MATCH(X676,'玩法产出(新)'!$B$19:$B$25,0),3)*(1-V676)+OFFSET('玩法产出(新)'!$C$18,1+MATCH(X676,'玩法产出(新)'!$B$19:$B$25,0),3)*(V676))^AB676*(1+OFFSET('玩法产出(新)'!$C$18,MATCH(X676,'玩法产出(新)'!$B$19:$B$25,0),4)*(1-V676)+OFFSET('玩法产出(新)'!$C$18,1+MATCH(X676,'玩法产出(新)'!$B$19:$B$25,0),4)*(V676))^AC676*(1+OFFSET('玩法产出(新)'!$C$18,MATCH(X676,'玩法产出(新)'!$B$19:$B$25,0),5)*(1+V676)+OFFSET('玩法产出(新)'!$C$18,1+MATCH(X676,'玩法产出(新)'!$B$19:$B$25,5),1)*(V676))^AD676*(1+OFFSET('玩法产出(新)'!$C$18,MATCH(X676,'玩法产出(新)'!$B$19:$B$25,0),6)*(1+V676)+OFFSET('玩法产出(新)'!$C$18,1+MATCH(X676,'玩法产出(新)'!$B$19:$B$25,0),6)*(V676))^AE676</f>
        <v>1136.04442093644</v>
      </c>
      <c r="U676" s="226">
        <f ca="1" t="shared" si="353"/>
        <v>0.187273010330279</v>
      </c>
      <c r="V676" s="226">
        <f ca="1">COUNTIF($X$124:$X676,X676)/(COUNTIF($X$124:$X$723,X676)+1)</f>
        <v>0.901030927835052</v>
      </c>
      <c r="W676" s="19">
        <v>30</v>
      </c>
      <c r="X676" s="19" t="s">
        <v>326</v>
      </c>
      <c r="Y676" s="19">
        <f t="shared" si="359"/>
        <v>56460</v>
      </c>
      <c r="Z676" s="19">
        <f ca="1" t="shared" si="335"/>
        <v>0</v>
      </c>
      <c r="AA676" s="282">
        <f ca="1" t="shared" si="336"/>
        <v>0</v>
      </c>
      <c r="AB676" s="282">
        <f ca="1" t="shared" si="337"/>
        <v>18</v>
      </c>
      <c r="AC676" s="282">
        <f ca="1" t="shared" si="338"/>
        <v>11.66055</v>
      </c>
      <c r="AD676" s="282">
        <f ca="1" t="shared" si="339"/>
        <v>2.9151375</v>
      </c>
      <c r="AE676" s="282">
        <f ca="1" t="shared" si="340"/>
        <v>0.728784375</v>
      </c>
      <c r="AF676" s="19" t="str">
        <f t="shared" si="341"/>
        <v>彩6</v>
      </c>
      <c r="AG676" s="19">
        <f>IFERROR(_xlfn.XLOOKUP(C676+1,[2]基因升级!$E$141:$E$500,[2]基因升级!$D$141:$D$500)-1,AG675)</f>
        <v>120</v>
      </c>
      <c r="AH676" s="19">
        <v>8</v>
      </c>
      <c r="AI676" s="19">
        <f t="shared" si="342"/>
        <v>10.5142500606751</v>
      </c>
      <c r="AJ676" s="19">
        <f t="shared" si="354"/>
        <v>0</v>
      </c>
      <c r="AK676" s="269">
        <v>2.0368</v>
      </c>
      <c r="AL676" s="287">
        <f t="shared" si="363"/>
        <v>23.7599999999997</v>
      </c>
      <c r="AM676" s="287">
        <f t="shared" si="364"/>
        <v>20.1599999999997</v>
      </c>
      <c r="AN676" s="287">
        <f t="shared" si="325"/>
        <v>16.5599999999998</v>
      </c>
      <c r="AO676" s="287">
        <f t="shared" si="360"/>
        <v>12.9599999999999</v>
      </c>
      <c r="AP676" s="287">
        <f t="shared" si="365"/>
        <v>9.35999999999997</v>
      </c>
      <c r="AQ676" s="19">
        <f t="shared" si="343"/>
        <v>4.99066659861267</v>
      </c>
      <c r="AR676" s="19">
        <f t="shared" si="344"/>
        <v>3.9118028443131</v>
      </c>
      <c r="AS676" s="19">
        <f t="shared" si="345"/>
        <v>3.06616384613427</v>
      </c>
      <c r="AT676" s="19">
        <f t="shared" si="346"/>
        <v>2.40333194322623</v>
      </c>
      <c r="AU676" s="19">
        <f t="shared" si="347"/>
        <v>1.88378857725226</v>
      </c>
      <c r="AV676" s="232">
        <f t="shared" si="327"/>
        <v>0.0399999999999991</v>
      </c>
      <c r="AW676" s="232">
        <f t="shared" si="328"/>
        <v>0.0399999999999991</v>
      </c>
      <c r="AX676" s="232">
        <f t="shared" si="329"/>
        <v>0.0399999999999991</v>
      </c>
      <c r="AY676" s="232">
        <f t="shared" si="330"/>
        <v>0.0399999999999991</v>
      </c>
      <c r="AZ676" s="232">
        <f t="shared" si="331"/>
        <v>0.0399999999999991</v>
      </c>
    </row>
    <row r="677" spans="1:52">
      <c r="A677" s="269"/>
      <c r="C677" s="19">
        <v>554</v>
      </c>
      <c r="D677" s="86">
        <f ca="1" t="shared" si="355"/>
        <v>311.218399050029</v>
      </c>
      <c r="E677" s="251">
        <f ca="1" t="shared" si="332"/>
        <v>0.36929865573337</v>
      </c>
      <c r="F677" s="269">
        <f ca="1" t="shared" si="348"/>
        <v>548.485649911534</v>
      </c>
      <c r="G677" s="283">
        <f ca="1" t="shared" si="349"/>
        <v>202.555013201373</v>
      </c>
      <c r="H677" s="279">
        <f ca="1" t="shared" si="350"/>
        <v>0.181882275604352</v>
      </c>
      <c r="I677" s="269">
        <f ca="1">SUM($J$125:J677)/SUM($H$125:H677)</f>
        <v>0.44762552274529</v>
      </c>
      <c r="J677" s="284">
        <f t="shared" si="356"/>
        <v>0.0456594081243793</v>
      </c>
      <c r="K677" s="19">
        <f t="shared" si="358"/>
        <v>56300</v>
      </c>
      <c r="L677" s="269">
        <f t="shared" si="351"/>
        <v>3.81499999999994</v>
      </c>
      <c r="M677" s="226">
        <f ca="1" t="shared" si="352"/>
        <v>1841.664</v>
      </c>
      <c r="N677" s="280">
        <f ca="1" t="shared" si="357"/>
        <v>0.136222867479987</v>
      </c>
      <c r="O677" s="226">
        <f t="shared" si="362"/>
        <v>844.8</v>
      </c>
      <c r="P677" s="19">
        <f ca="1" t="shared" si="326"/>
        <v>12.8</v>
      </c>
      <c r="Q677" s="226">
        <f ca="1" t="shared" si="361"/>
        <v>2.18</v>
      </c>
      <c r="R677" s="269">
        <f ca="1" t="shared" si="333"/>
        <v>1.10883953586783</v>
      </c>
      <c r="S677" s="266">
        <f ca="1" t="shared" si="334"/>
        <v>104.169802374381</v>
      </c>
      <c r="T677" s="226">
        <f ca="1">(1+OFFSET('玩法产出(新)'!$C$18,MATCH(X677,'玩法产出(新)'!$B$19:$B$25,0),1)*(1-V677)+OFFSET('玩法产出(新)'!$C$18,1+MATCH(X677,'玩法产出(新)'!$B$19:$B$25,0),1)*(V677))^AA677*(1+OFFSET('玩法产出(新)'!$C$18,MATCH(X677,'玩法产出(新)'!$B$19:$B$25,0),3)*(1-V677)+OFFSET('玩法产出(新)'!$C$18,1+MATCH(X677,'玩法产出(新)'!$B$19:$B$25,0),3)*(V677))^AB677*(1+OFFSET('玩法产出(新)'!$C$18,MATCH(X677,'玩法产出(新)'!$B$19:$B$25,0),4)*(1-V677)+OFFSET('玩法产出(新)'!$C$18,1+MATCH(X677,'玩法产出(新)'!$B$19:$B$25,0),4)*(V677))^AC677*(1+OFFSET('玩法产出(新)'!$C$18,MATCH(X677,'玩法产出(新)'!$B$19:$B$25,0),5)*(1+V677)+OFFSET('玩法产出(新)'!$C$18,1+MATCH(X677,'玩法产出(新)'!$B$19:$B$25,5),1)*(V677))^AD677*(1+OFFSET('玩法产出(新)'!$C$18,MATCH(X677,'玩法产出(新)'!$B$19:$B$25,0),6)*(1+V677)+OFFSET('玩法产出(新)'!$C$18,1+MATCH(X677,'玩法产出(新)'!$B$19:$B$25,0),6)*(V677))^AE677</f>
        <v>1150.54156941995</v>
      </c>
      <c r="U677" s="226">
        <f ca="1" t="shared" si="353"/>
        <v>0.187416380129004</v>
      </c>
      <c r="V677" s="226">
        <f ca="1">COUNTIF($X$124:$X677,X677)/(COUNTIF($X$124:$X$723,X677)+1)</f>
        <v>0.903092783505155</v>
      </c>
      <c r="W677" s="19">
        <v>30</v>
      </c>
      <c r="X677" s="19" t="s">
        <v>326</v>
      </c>
      <c r="Y677" s="19">
        <f t="shared" si="359"/>
        <v>56560</v>
      </c>
      <c r="Z677" s="19">
        <f ca="1" t="shared" si="335"/>
        <v>0</v>
      </c>
      <c r="AA677" s="282">
        <f ca="1" t="shared" si="336"/>
        <v>0</v>
      </c>
      <c r="AB677" s="282">
        <f ca="1" t="shared" si="337"/>
        <v>18</v>
      </c>
      <c r="AC677" s="282">
        <f ca="1" t="shared" si="338"/>
        <v>11.6814</v>
      </c>
      <c r="AD677" s="282">
        <f ca="1" t="shared" si="339"/>
        <v>2.92035</v>
      </c>
      <c r="AE677" s="282">
        <f ca="1" t="shared" si="340"/>
        <v>0.7300875</v>
      </c>
      <c r="AF677" s="19" t="str">
        <f t="shared" si="341"/>
        <v>彩6</v>
      </c>
      <c r="AG677" s="19">
        <f>IFERROR(_xlfn.XLOOKUP(C677+1,[2]基因升级!$E$141:$E$500,[2]基因升级!$D$141:$D$500)-1,AG676)</f>
        <v>120</v>
      </c>
      <c r="AH677" s="19">
        <v>8</v>
      </c>
      <c r="AI677" s="19">
        <f t="shared" si="342"/>
        <v>10.5142500606751</v>
      </c>
      <c r="AJ677" s="19">
        <f t="shared" si="354"/>
        <v>0</v>
      </c>
      <c r="AK677" s="269">
        <v>2.0368</v>
      </c>
      <c r="AL677" s="287">
        <f t="shared" si="363"/>
        <v>23.7999999999997</v>
      </c>
      <c r="AM677" s="287">
        <f t="shared" si="364"/>
        <v>20.1999999999997</v>
      </c>
      <c r="AN677" s="287">
        <f t="shared" si="325"/>
        <v>16.5999999999998</v>
      </c>
      <c r="AO677" s="287">
        <f t="shared" si="360"/>
        <v>12.9999999999999</v>
      </c>
      <c r="AP677" s="287">
        <f t="shared" si="365"/>
        <v>9.39999999999997</v>
      </c>
      <c r="AQ677" s="19">
        <f t="shared" si="343"/>
        <v>5.00419136198374</v>
      </c>
      <c r="AR677" s="19">
        <f t="shared" si="344"/>
        <v>3.922403874612</v>
      </c>
      <c r="AS677" s="19">
        <f t="shared" si="345"/>
        <v>3.07447318510863</v>
      </c>
      <c r="AT677" s="19">
        <f t="shared" si="346"/>
        <v>2.40984500018807</v>
      </c>
      <c r="AU677" s="19">
        <f t="shared" si="347"/>
        <v>1.88889366577</v>
      </c>
      <c r="AV677" s="232">
        <f t="shared" si="327"/>
        <v>0.0399999999999991</v>
      </c>
      <c r="AW677" s="232">
        <f t="shared" si="328"/>
        <v>0.0399999999999991</v>
      </c>
      <c r="AX677" s="232">
        <f t="shared" si="329"/>
        <v>0.0399999999999991</v>
      </c>
      <c r="AY677" s="232">
        <f t="shared" si="330"/>
        <v>0.0399999999999991</v>
      </c>
      <c r="AZ677" s="232">
        <f t="shared" si="331"/>
        <v>0.0399999999999991</v>
      </c>
    </row>
    <row r="678" spans="1:52">
      <c r="A678" s="269"/>
      <c r="C678" s="19">
        <v>555</v>
      </c>
      <c r="D678" s="86">
        <f ca="1" t="shared" si="355"/>
        <v>311.586524932919</v>
      </c>
      <c r="E678" s="251">
        <f ca="1" t="shared" si="332"/>
        <v>0.368125882889674</v>
      </c>
      <c r="F678" s="269">
        <f ca="1" t="shared" si="348"/>
        <v>550.7235128546</v>
      </c>
      <c r="G678" s="283">
        <f ca="1" t="shared" si="349"/>
        <v>202.735579397703</v>
      </c>
      <c r="H678" s="279">
        <f ca="1" t="shared" si="350"/>
        <v>0.180566196329437</v>
      </c>
      <c r="I678" s="269">
        <f ca="1">SUM($J$125:J678)/SUM($H$125:H678)</f>
        <v>0.447442688587433</v>
      </c>
      <c r="J678" s="284">
        <f t="shared" si="356"/>
        <v>0.045587390673731</v>
      </c>
      <c r="K678" s="19">
        <f t="shared" si="358"/>
        <v>56400</v>
      </c>
      <c r="L678" s="269">
        <f t="shared" si="351"/>
        <v>3.81999999999994</v>
      </c>
      <c r="M678" s="226">
        <f ca="1" t="shared" si="352"/>
        <v>1858.56</v>
      </c>
      <c r="N678" s="280">
        <f ca="1" t="shared" si="357"/>
        <v>0.134978805655678</v>
      </c>
      <c r="O678" s="226">
        <f t="shared" si="362"/>
        <v>844.8</v>
      </c>
      <c r="P678" s="19">
        <f ca="1" t="shared" si="326"/>
        <v>13</v>
      </c>
      <c r="Q678" s="226">
        <f ca="1" t="shared" si="361"/>
        <v>2.2</v>
      </c>
      <c r="R678" s="269">
        <f ca="1" t="shared" si="333"/>
        <v>1.11083602228762</v>
      </c>
      <c r="S678" s="266">
        <f ca="1" t="shared" si="334"/>
        <v>104.357362060941</v>
      </c>
      <c r="T678" s="226">
        <f ca="1">(1+OFFSET('玩法产出(新)'!$C$18,MATCH(X678,'玩法产出(新)'!$B$19:$B$25,0),1)*(1-V678)+OFFSET('玩法产出(新)'!$C$18,1+MATCH(X678,'玩法产出(新)'!$B$19:$B$25,0),1)*(V678))^AA678*(1+OFFSET('玩法产出(新)'!$C$18,MATCH(X678,'玩法产出(新)'!$B$19:$B$25,0),3)*(1-V678)+OFFSET('玩法产出(新)'!$C$18,1+MATCH(X678,'玩法产出(新)'!$B$19:$B$25,0),3)*(V678))^AB678*(1+OFFSET('玩法产出(新)'!$C$18,MATCH(X678,'玩法产出(新)'!$B$19:$B$25,0),4)*(1-V678)+OFFSET('玩法产出(新)'!$C$18,1+MATCH(X678,'玩法产出(新)'!$B$19:$B$25,0),4)*(V678))^AC678*(1+OFFSET('玩法产出(新)'!$C$18,MATCH(X678,'玩法产出(新)'!$B$19:$B$25,0),5)*(1+V678)+OFFSET('玩法产出(新)'!$C$18,1+MATCH(X678,'玩法产出(新)'!$B$19:$B$25,5),1)*(V678))^AD678*(1+OFFSET('玩法产出(新)'!$C$18,MATCH(X678,'玩法产出(新)'!$B$19:$B$25,0),6)*(1+V678)+OFFSET('玩法产出(新)'!$C$18,1+MATCH(X678,'玩法产出(新)'!$B$19:$B$25,0),6)*(V678))^AE678</f>
        <v>1165.23501507804</v>
      </c>
      <c r="U678" s="226">
        <f ca="1" t="shared" si="353"/>
        <v>0.187559686560266</v>
      </c>
      <c r="V678" s="226">
        <f ca="1">COUNTIF($X$124:$X678,X678)/(COUNTIF($X$124:$X$723,X678)+1)</f>
        <v>0.905154639175258</v>
      </c>
      <c r="W678" s="19">
        <v>30</v>
      </c>
      <c r="X678" s="19" t="s">
        <v>326</v>
      </c>
      <c r="Y678" s="19">
        <f t="shared" si="359"/>
        <v>56660</v>
      </c>
      <c r="Z678" s="19">
        <f ca="1" t="shared" si="335"/>
        <v>0</v>
      </c>
      <c r="AA678" s="282">
        <f ca="1" t="shared" si="336"/>
        <v>0</v>
      </c>
      <c r="AB678" s="282">
        <f ca="1" t="shared" si="337"/>
        <v>18</v>
      </c>
      <c r="AC678" s="282">
        <f ca="1" t="shared" si="338"/>
        <v>11.70225</v>
      </c>
      <c r="AD678" s="282">
        <f ca="1" t="shared" si="339"/>
        <v>2.9255625</v>
      </c>
      <c r="AE678" s="282">
        <f ca="1" t="shared" si="340"/>
        <v>0.731390625</v>
      </c>
      <c r="AF678" s="19" t="str">
        <f t="shared" si="341"/>
        <v>彩6</v>
      </c>
      <c r="AG678" s="19">
        <f>IFERROR(_xlfn.XLOOKUP(C678+1,[2]基因升级!$E$141:$E$500,[2]基因升级!$D$141:$D$500)-1,AG677)</f>
        <v>120</v>
      </c>
      <c r="AH678" s="19">
        <v>8</v>
      </c>
      <c r="AI678" s="19">
        <f t="shared" si="342"/>
        <v>10.5142500606751</v>
      </c>
      <c r="AJ678" s="19">
        <f t="shared" si="354"/>
        <v>0</v>
      </c>
      <c r="AK678" s="269">
        <v>2.0368</v>
      </c>
      <c r="AL678" s="287">
        <f t="shared" si="363"/>
        <v>23.8399999999997</v>
      </c>
      <c r="AM678" s="287">
        <f t="shared" si="364"/>
        <v>20.2399999999997</v>
      </c>
      <c r="AN678" s="287">
        <f t="shared" si="325"/>
        <v>16.6399999999998</v>
      </c>
      <c r="AO678" s="287">
        <f t="shared" si="360"/>
        <v>13.0399999999999</v>
      </c>
      <c r="AP678" s="287">
        <f t="shared" si="365"/>
        <v>9.43999999999997</v>
      </c>
      <c r="AQ678" s="19">
        <f t="shared" si="343"/>
        <v>5.01775277761772</v>
      </c>
      <c r="AR678" s="19">
        <f t="shared" si="344"/>
        <v>3.93303363382386</v>
      </c>
      <c r="AS678" s="19">
        <f t="shared" si="345"/>
        <v>3.08280504248634</v>
      </c>
      <c r="AT678" s="19">
        <f t="shared" si="346"/>
        <v>2.41637570760851</v>
      </c>
      <c r="AU678" s="19">
        <f t="shared" si="347"/>
        <v>1.89401258913582</v>
      </c>
      <c r="AV678" s="232">
        <f t="shared" si="327"/>
        <v>0.0399999999999991</v>
      </c>
      <c r="AW678" s="232">
        <f t="shared" si="328"/>
        <v>0.0399999999999991</v>
      </c>
      <c r="AX678" s="232">
        <f t="shared" si="329"/>
        <v>0.0399999999999991</v>
      </c>
      <c r="AY678" s="232">
        <f t="shared" si="330"/>
        <v>0.0399999999999991</v>
      </c>
      <c r="AZ678" s="232">
        <f t="shared" si="331"/>
        <v>0.0399999999999991</v>
      </c>
    </row>
    <row r="679" spans="1:52">
      <c r="A679" s="269"/>
      <c r="C679" s="19">
        <v>556</v>
      </c>
      <c r="D679" s="86">
        <f ca="1" t="shared" si="355"/>
        <v>311.953500728711</v>
      </c>
      <c r="E679" s="251">
        <f ca="1" t="shared" si="332"/>
        <v>0.366975795792221</v>
      </c>
      <c r="F679" s="269">
        <f ca="1" t="shared" si="348"/>
        <v>552.937971905621</v>
      </c>
      <c r="G679" s="283">
        <f ca="1" t="shared" si="349"/>
        <v>202.914852263802</v>
      </c>
      <c r="H679" s="279">
        <f ca="1" t="shared" si="350"/>
        <v>0.179272866099438</v>
      </c>
      <c r="I679" s="269">
        <f ca="1">SUM($J$125:J679)/SUM($H$125:H679)</f>
        <v>0.447262823077108</v>
      </c>
      <c r="J679" s="284">
        <f t="shared" si="356"/>
        <v>0.0455156048467273</v>
      </c>
      <c r="K679" s="19">
        <f t="shared" si="358"/>
        <v>56500</v>
      </c>
      <c r="L679" s="269">
        <f t="shared" si="351"/>
        <v>3.82499999999994</v>
      </c>
      <c r="M679" s="226">
        <f ca="1" t="shared" si="352"/>
        <v>1875.456</v>
      </c>
      <c r="N679" s="280">
        <f ca="1" t="shared" si="357"/>
        <v>0.133757261252711</v>
      </c>
      <c r="O679" s="226">
        <f t="shared" si="362"/>
        <v>844.8</v>
      </c>
      <c r="P679" s="19">
        <f ca="1" t="shared" si="326"/>
        <v>13.2</v>
      </c>
      <c r="Q679" s="226">
        <f ca="1" t="shared" si="361"/>
        <v>2.22</v>
      </c>
      <c r="R679" s="269">
        <f ca="1" t="shared" si="333"/>
        <v>1.11283403346454</v>
      </c>
      <c r="S679" s="266">
        <f ca="1" t="shared" si="334"/>
        <v>104.545064990634</v>
      </c>
      <c r="T679" s="226">
        <f ca="1">(1+OFFSET('玩法产出(新)'!$C$18,MATCH(X679,'玩法产出(新)'!$B$19:$B$25,0),1)*(1-V679)+OFFSET('玩法产出(新)'!$C$18,1+MATCH(X679,'玩法产出(新)'!$B$19:$B$25,0),1)*(V679))^AA679*(1+OFFSET('玩法产出(新)'!$C$18,MATCH(X679,'玩法产出(新)'!$B$19:$B$25,0),3)*(1-V679)+OFFSET('玩法产出(新)'!$C$18,1+MATCH(X679,'玩法产出(新)'!$B$19:$B$25,0),3)*(V679))^AB679*(1+OFFSET('玩法产出(新)'!$C$18,MATCH(X679,'玩法产出(新)'!$B$19:$B$25,0),4)*(1-V679)+OFFSET('玩法产出(新)'!$C$18,1+MATCH(X679,'玩法产出(新)'!$B$19:$B$25,0),4)*(V679))^AC679*(1+OFFSET('玩法产出(新)'!$C$18,MATCH(X679,'玩法产出(新)'!$B$19:$B$25,0),5)*(1+V679)+OFFSET('玩法产出(新)'!$C$18,1+MATCH(X679,'玩法产出(新)'!$B$19:$B$25,5),1)*(V679))^AD679*(1+OFFSET('玩法产出(新)'!$C$18,MATCH(X679,'玩法产出(新)'!$B$19:$B$25,0),6)*(1+V679)+OFFSET('玩法产出(新)'!$C$18,1+MATCH(X679,'玩法产出(新)'!$B$19:$B$25,0),6)*(V679))^AE679</f>
        <v>1180.12754650095</v>
      </c>
      <c r="U679" s="226">
        <f ca="1" t="shared" si="353"/>
        <v>0.187702929692783</v>
      </c>
      <c r="V679" s="226">
        <f ca="1">COUNTIF($X$124:$X679,X679)/(COUNTIF($X$124:$X$723,X679)+1)</f>
        <v>0.907216494845361</v>
      </c>
      <c r="W679" s="19">
        <v>30</v>
      </c>
      <c r="X679" s="19" t="s">
        <v>326</v>
      </c>
      <c r="Y679" s="19">
        <f t="shared" si="359"/>
        <v>56760</v>
      </c>
      <c r="Z679" s="19">
        <f ca="1" t="shared" si="335"/>
        <v>0</v>
      </c>
      <c r="AA679" s="282">
        <f ca="1" t="shared" si="336"/>
        <v>0</v>
      </c>
      <c r="AB679" s="282">
        <f ca="1" t="shared" si="337"/>
        <v>18</v>
      </c>
      <c r="AC679" s="282">
        <f ca="1" t="shared" si="338"/>
        <v>11.7231</v>
      </c>
      <c r="AD679" s="282">
        <f ca="1" t="shared" si="339"/>
        <v>2.930775</v>
      </c>
      <c r="AE679" s="282">
        <f ca="1" t="shared" si="340"/>
        <v>0.73269375</v>
      </c>
      <c r="AF679" s="19" t="str">
        <f t="shared" si="341"/>
        <v>彩6</v>
      </c>
      <c r="AG679" s="19">
        <f>IFERROR(_xlfn.XLOOKUP(C679+1,[2]基因升级!$E$141:$E$500,[2]基因升级!$D$141:$D$500)-1,AG678)</f>
        <v>120</v>
      </c>
      <c r="AH679" s="19">
        <v>8</v>
      </c>
      <c r="AI679" s="19">
        <f t="shared" si="342"/>
        <v>10.5142500606751</v>
      </c>
      <c r="AJ679" s="19">
        <f t="shared" si="354"/>
        <v>0</v>
      </c>
      <c r="AK679" s="269">
        <v>2.0368</v>
      </c>
      <c r="AL679" s="287">
        <f t="shared" si="363"/>
        <v>23.8799999999997</v>
      </c>
      <c r="AM679" s="287">
        <f t="shared" si="364"/>
        <v>20.2799999999997</v>
      </c>
      <c r="AN679" s="287">
        <f t="shared" si="325"/>
        <v>16.6799999999998</v>
      </c>
      <c r="AO679" s="287">
        <f t="shared" si="360"/>
        <v>13.0799999999999</v>
      </c>
      <c r="AP679" s="287">
        <f t="shared" si="365"/>
        <v>9.47999999999997</v>
      </c>
      <c r="AQ679" s="19">
        <f t="shared" si="343"/>
        <v>5.03135094484265</v>
      </c>
      <c r="AR679" s="19">
        <f t="shared" si="344"/>
        <v>3.94369219980435</v>
      </c>
      <c r="AS679" s="19">
        <f t="shared" si="345"/>
        <v>3.09115947929251</v>
      </c>
      <c r="AT679" s="19">
        <f t="shared" si="346"/>
        <v>2.4229241133205</v>
      </c>
      <c r="AU679" s="19">
        <f t="shared" si="347"/>
        <v>1.89914538484231</v>
      </c>
      <c r="AV679" s="232">
        <f t="shared" si="327"/>
        <v>0.0399999999999991</v>
      </c>
      <c r="AW679" s="232">
        <f t="shared" si="328"/>
        <v>0.0399999999999991</v>
      </c>
      <c r="AX679" s="232">
        <f t="shared" si="329"/>
        <v>0.0399999999999991</v>
      </c>
      <c r="AY679" s="232">
        <f t="shared" si="330"/>
        <v>0.0399999999999991</v>
      </c>
      <c r="AZ679" s="232">
        <f t="shared" si="331"/>
        <v>0.0399999999999991</v>
      </c>
    </row>
    <row r="680" spans="1:52">
      <c r="A680" s="269"/>
      <c r="C680" s="19">
        <v>557</v>
      </c>
      <c r="D680" s="86">
        <f ca="1" t="shared" si="355"/>
        <v>312.319348516217</v>
      </c>
      <c r="E680" s="251">
        <f ca="1" t="shared" si="332"/>
        <v>0.365847787506428</v>
      </c>
      <c r="F680" s="269">
        <f ca="1" t="shared" si="348"/>
        <v>555.12937586959</v>
      </c>
      <c r="G680" s="283">
        <f ca="1" t="shared" si="349"/>
        <v>203.092853941713</v>
      </c>
      <c r="H680" s="279">
        <f ca="1" t="shared" si="350"/>
        <v>0.178001677911425</v>
      </c>
      <c r="I680" s="269">
        <f ca="1">SUM($J$125:J680)/SUM($H$125:H680)</f>
        <v>0.447085864257706</v>
      </c>
      <c r="J680" s="284">
        <f t="shared" si="356"/>
        <v>0.0454440495066564</v>
      </c>
      <c r="K680" s="19">
        <f t="shared" si="358"/>
        <v>56600</v>
      </c>
      <c r="L680" s="269">
        <f t="shared" si="351"/>
        <v>3.82999999999994</v>
      </c>
      <c r="M680" s="226">
        <f ca="1" t="shared" si="352"/>
        <v>1892.352</v>
      </c>
      <c r="N680" s="280">
        <f ca="1" t="shared" si="357"/>
        <v>0.132557628404754</v>
      </c>
      <c r="O680" s="226">
        <f t="shared" si="362"/>
        <v>844.8</v>
      </c>
      <c r="P680" s="19">
        <f ca="1" t="shared" si="326"/>
        <v>13.4</v>
      </c>
      <c r="Q680" s="226">
        <f ca="1" t="shared" si="361"/>
        <v>2.24</v>
      </c>
      <c r="R680" s="269">
        <f ca="1" t="shared" si="333"/>
        <v>1.11483356872553</v>
      </c>
      <c r="S680" s="266">
        <f ca="1" t="shared" si="334"/>
        <v>104.732911100229</v>
      </c>
      <c r="T680" s="226">
        <f ca="1">(1+OFFSET('玩法产出(新)'!$C$18,MATCH(X680,'玩法产出(新)'!$B$19:$B$25,0),1)*(1-V680)+OFFSET('玩法产出(新)'!$C$18,1+MATCH(X680,'玩法产出(新)'!$B$19:$B$25,0),1)*(V680))^AA680*(1+OFFSET('玩法产出(新)'!$C$18,MATCH(X680,'玩法产出(新)'!$B$19:$B$25,0),3)*(1-V680)+OFFSET('玩法产出(新)'!$C$18,1+MATCH(X680,'玩法产出(新)'!$B$19:$B$25,0),3)*(V680))^AB680*(1+OFFSET('玩法产出(新)'!$C$18,MATCH(X680,'玩法产出(新)'!$B$19:$B$25,0),4)*(1-V680)+OFFSET('玩法产出(新)'!$C$18,1+MATCH(X680,'玩法产出(新)'!$B$19:$B$25,0),4)*(V680))^AC680*(1+OFFSET('玩法产出(新)'!$C$18,MATCH(X680,'玩法产出(新)'!$B$19:$B$25,0),5)*(1+V680)+OFFSET('玩法产出(新)'!$C$18,1+MATCH(X680,'玩法产出(新)'!$B$19:$B$25,5),1)*(V680))^AD680*(1+OFFSET('玩法产出(新)'!$C$18,MATCH(X680,'玩法产出(新)'!$B$19:$B$25,0),6)*(1+V680)+OFFSET('玩法产出(新)'!$C$18,1+MATCH(X680,'玩法产出(新)'!$B$19:$B$25,0),6)*(V680))^AE680</f>
        <v>1195.22199354503</v>
      </c>
      <c r="U680" s="226">
        <f ca="1" t="shared" si="353"/>
        <v>0.187846109595017</v>
      </c>
      <c r="V680" s="226">
        <f ca="1">COUNTIF($X$124:$X680,X680)/(COUNTIF($X$124:$X$723,X680)+1)</f>
        <v>0.909278350515464</v>
      </c>
      <c r="W680" s="19">
        <v>30</v>
      </c>
      <c r="X680" s="19" t="s">
        <v>326</v>
      </c>
      <c r="Y680" s="19">
        <f t="shared" si="359"/>
        <v>56860</v>
      </c>
      <c r="Z680" s="19">
        <f ca="1" t="shared" si="335"/>
        <v>0</v>
      </c>
      <c r="AA680" s="282">
        <f ca="1" t="shared" si="336"/>
        <v>0</v>
      </c>
      <c r="AB680" s="282">
        <f ca="1" t="shared" si="337"/>
        <v>18</v>
      </c>
      <c r="AC680" s="282">
        <f ca="1" t="shared" si="338"/>
        <v>11.74395</v>
      </c>
      <c r="AD680" s="282">
        <f ca="1" t="shared" si="339"/>
        <v>2.9359875</v>
      </c>
      <c r="AE680" s="282">
        <f ca="1" t="shared" si="340"/>
        <v>0.733996875</v>
      </c>
      <c r="AF680" s="19" t="str">
        <f t="shared" si="341"/>
        <v>彩6</v>
      </c>
      <c r="AG680" s="19">
        <f>IFERROR(_xlfn.XLOOKUP(C680+1,[2]基因升级!$E$141:$E$500,[2]基因升级!$D$141:$D$500)-1,AG679)</f>
        <v>120</v>
      </c>
      <c r="AH680" s="19">
        <v>8</v>
      </c>
      <c r="AI680" s="19">
        <f t="shared" si="342"/>
        <v>10.5142500606751</v>
      </c>
      <c r="AJ680" s="19">
        <f t="shared" si="354"/>
        <v>0</v>
      </c>
      <c r="AK680" s="269">
        <v>2.0368</v>
      </c>
      <c r="AL680" s="287">
        <f t="shared" si="363"/>
        <v>23.9199999999997</v>
      </c>
      <c r="AM680" s="287">
        <f t="shared" si="364"/>
        <v>20.3199999999997</v>
      </c>
      <c r="AN680" s="287">
        <f t="shared" si="325"/>
        <v>16.7199999999998</v>
      </c>
      <c r="AO680" s="287">
        <f t="shared" si="360"/>
        <v>13.1199999999999</v>
      </c>
      <c r="AP680" s="287">
        <f t="shared" si="365"/>
        <v>9.51999999999997</v>
      </c>
      <c r="AQ680" s="19">
        <f t="shared" si="343"/>
        <v>5.04498596325577</v>
      </c>
      <c r="AR680" s="19">
        <f t="shared" si="344"/>
        <v>3.95437965062015</v>
      </c>
      <c r="AS680" s="19">
        <f t="shared" si="345"/>
        <v>3.09953655671766</v>
      </c>
      <c r="AT680" s="19">
        <f t="shared" si="346"/>
        <v>2.42949026528662</v>
      </c>
      <c r="AU680" s="19">
        <f t="shared" si="347"/>
        <v>1.90429209048368</v>
      </c>
      <c r="AV680" s="232">
        <f t="shared" si="327"/>
        <v>0.0399999999999991</v>
      </c>
      <c r="AW680" s="232">
        <f t="shared" si="328"/>
        <v>0.0399999999999991</v>
      </c>
      <c r="AX680" s="232">
        <f t="shared" si="329"/>
        <v>0.0399999999999991</v>
      </c>
      <c r="AY680" s="232">
        <f t="shared" si="330"/>
        <v>0.0399999999999991</v>
      </c>
      <c r="AZ680" s="232">
        <f t="shared" si="331"/>
        <v>0.0399999999999991</v>
      </c>
    </row>
    <row r="681" spans="1:52">
      <c r="A681" s="269"/>
      <c r="C681" s="19">
        <v>558</v>
      </c>
      <c r="D681" s="86">
        <f ca="1" t="shared" si="355"/>
        <v>312.684089788865</v>
      </c>
      <c r="E681" s="251">
        <f ca="1" t="shared" si="332"/>
        <v>0.364741272647914</v>
      </c>
      <c r="F681" s="269">
        <f ca="1" t="shared" si="348"/>
        <v>557.298066413895</v>
      </c>
      <c r="G681" s="283">
        <f ca="1" t="shared" si="349"/>
        <v>203.269605988026</v>
      </c>
      <c r="H681" s="279">
        <f ca="1" t="shared" si="350"/>
        <v>0.176752046312401</v>
      </c>
      <c r="I681" s="269">
        <f ca="1">SUM($J$125:J681)/SUM($H$125:H681)</f>
        <v>0.446911751946107</v>
      </c>
      <c r="J681" s="284">
        <f t="shared" si="356"/>
        <v>0.045372723524352</v>
      </c>
      <c r="K681" s="19">
        <f t="shared" si="358"/>
        <v>56700</v>
      </c>
      <c r="L681" s="269">
        <f t="shared" si="351"/>
        <v>3.83499999999994</v>
      </c>
      <c r="M681" s="226">
        <f ca="1" t="shared" si="352"/>
        <v>1909.248</v>
      </c>
      <c r="N681" s="280">
        <f ca="1" t="shared" si="357"/>
        <v>0.131379322788092</v>
      </c>
      <c r="O681" s="226">
        <f t="shared" si="362"/>
        <v>844.8</v>
      </c>
      <c r="P681" s="19">
        <f ca="1" t="shared" si="326"/>
        <v>13.6</v>
      </c>
      <c r="Q681" s="226">
        <f ca="1" t="shared" si="361"/>
        <v>2.26</v>
      </c>
      <c r="R681" s="269">
        <f ca="1" t="shared" si="333"/>
        <v>1.11683462739826</v>
      </c>
      <c r="S681" s="266">
        <f ca="1" t="shared" si="334"/>
        <v>104.920900326564</v>
      </c>
      <c r="T681" s="226">
        <f ca="1">(1+OFFSET('玩法产出(新)'!$C$18,MATCH(X681,'玩法产出(新)'!$B$19:$B$25,0),1)*(1-V681)+OFFSET('玩法产出(新)'!$C$18,1+MATCH(X681,'玩法产出(新)'!$B$19:$B$25,0),1)*(V681))^AA681*(1+OFFSET('玩法产出(新)'!$C$18,MATCH(X681,'玩法产出(新)'!$B$19:$B$25,0),3)*(1-V681)+OFFSET('玩法产出(新)'!$C$18,1+MATCH(X681,'玩法产出(新)'!$B$19:$B$25,0),3)*(V681))^AB681*(1+OFFSET('玩法产出(新)'!$C$18,MATCH(X681,'玩法产出(新)'!$B$19:$B$25,0),4)*(1-V681)+OFFSET('玩法产出(新)'!$C$18,1+MATCH(X681,'玩法产出(新)'!$B$19:$B$25,0),4)*(V681))^AC681*(1+OFFSET('玩法产出(新)'!$C$18,MATCH(X681,'玩法产出(新)'!$B$19:$B$25,0),5)*(1+V681)+OFFSET('玩法产出(新)'!$C$18,1+MATCH(X681,'玩法产出(新)'!$B$19:$B$25,5),1)*(V681))^AD681*(1+OFFSET('玩法产出(新)'!$C$18,MATCH(X681,'玩法产出(新)'!$B$19:$B$25,0),6)*(1+V681)+OFFSET('玩法产出(新)'!$C$18,1+MATCH(X681,'玩法产出(新)'!$B$19:$B$25,0),6)*(V681))^AE681</f>
        <v>1210.52122796572</v>
      </c>
      <c r="U681" s="226">
        <f ca="1" t="shared" si="353"/>
        <v>0.18798922633547</v>
      </c>
      <c r="V681" s="226">
        <f ca="1">COUNTIF($X$124:$X681,X681)/(COUNTIF($X$124:$X$723,X681)+1)</f>
        <v>0.911340206185567</v>
      </c>
      <c r="W681" s="19">
        <v>30</v>
      </c>
      <c r="X681" s="19" t="s">
        <v>326</v>
      </c>
      <c r="Y681" s="19">
        <f t="shared" si="359"/>
        <v>56960</v>
      </c>
      <c r="Z681" s="19">
        <f ca="1" t="shared" si="335"/>
        <v>0</v>
      </c>
      <c r="AA681" s="282">
        <f ca="1" t="shared" si="336"/>
        <v>0</v>
      </c>
      <c r="AB681" s="282">
        <f ca="1" t="shared" si="337"/>
        <v>18</v>
      </c>
      <c r="AC681" s="282">
        <f ca="1" t="shared" si="338"/>
        <v>11.7648</v>
      </c>
      <c r="AD681" s="282">
        <f ca="1" t="shared" si="339"/>
        <v>2.9412</v>
      </c>
      <c r="AE681" s="282">
        <f ca="1" t="shared" si="340"/>
        <v>0.7353</v>
      </c>
      <c r="AF681" s="19" t="str">
        <f t="shared" si="341"/>
        <v>彩6</v>
      </c>
      <c r="AG681" s="19">
        <f>IFERROR(_xlfn.XLOOKUP(C681+1,[2]基因升级!$E$141:$E$500,[2]基因升级!$D$141:$D$500)-1,AG680)</f>
        <v>120</v>
      </c>
      <c r="AH681" s="19">
        <v>8</v>
      </c>
      <c r="AI681" s="19">
        <f t="shared" si="342"/>
        <v>10.5142500606751</v>
      </c>
      <c r="AJ681" s="19">
        <f t="shared" si="354"/>
        <v>0</v>
      </c>
      <c r="AK681" s="269">
        <v>2.0368</v>
      </c>
      <c r="AL681" s="287">
        <f t="shared" si="363"/>
        <v>23.9599999999997</v>
      </c>
      <c r="AM681" s="287">
        <f t="shared" si="364"/>
        <v>20.3599999999997</v>
      </c>
      <c r="AN681" s="287">
        <f t="shared" si="325"/>
        <v>16.7599999999998</v>
      </c>
      <c r="AO681" s="287">
        <f t="shared" si="360"/>
        <v>13.1599999999999</v>
      </c>
      <c r="AP681" s="287">
        <f t="shared" si="365"/>
        <v>9.55999999999997</v>
      </c>
      <c r="AQ681" s="19">
        <f t="shared" si="343"/>
        <v>5.05865793272422</v>
      </c>
      <c r="AR681" s="19">
        <f t="shared" si="344"/>
        <v>3.96509606454948</v>
      </c>
      <c r="AS681" s="19">
        <f t="shared" si="345"/>
        <v>3.10793633611812</v>
      </c>
      <c r="AT681" s="19">
        <f t="shared" si="346"/>
        <v>2.43607421159942</v>
      </c>
      <c r="AU681" s="19">
        <f t="shared" si="347"/>
        <v>1.909452743756</v>
      </c>
      <c r="AV681" s="232">
        <f t="shared" si="327"/>
        <v>0.0399999999999991</v>
      </c>
      <c r="AW681" s="232">
        <f t="shared" si="328"/>
        <v>0.0399999999999991</v>
      </c>
      <c r="AX681" s="232">
        <f t="shared" si="329"/>
        <v>0.0399999999999991</v>
      </c>
      <c r="AY681" s="232">
        <f t="shared" si="330"/>
        <v>0.0399999999999991</v>
      </c>
      <c r="AZ681" s="232">
        <f t="shared" si="331"/>
        <v>0.0399999999999991</v>
      </c>
    </row>
    <row r="682" spans="1:52">
      <c r="A682" s="269"/>
      <c r="C682" s="19">
        <v>559</v>
      </c>
      <c r="D682" s="86">
        <f ca="1" t="shared" si="355"/>
        <v>313.047745475298</v>
      </c>
      <c r="E682" s="251">
        <f ca="1" t="shared" si="332"/>
        <v>0.363655686433073</v>
      </c>
      <c r="F682" s="269">
        <f ca="1" t="shared" si="348"/>
        <v>559.444378252334</v>
      </c>
      <c r="G682" s="283">
        <f ca="1" t="shared" si="349"/>
        <v>203.445129394477</v>
      </c>
      <c r="H682" s="279">
        <f ca="1" t="shared" si="350"/>
        <v>0.175523406450651</v>
      </c>
      <c r="I682" s="269">
        <f ca="1">SUM($J$125:J682)/SUM($H$125:H682)</f>
        <v>0.446740427667175</v>
      </c>
      <c r="J682" s="284">
        <f t="shared" si="356"/>
        <v>0.0453016257781371</v>
      </c>
      <c r="K682" s="19">
        <f t="shared" si="358"/>
        <v>56800</v>
      </c>
      <c r="L682" s="269">
        <f t="shared" si="351"/>
        <v>3.83999999999994</v>
      </c>
      <c r="M682" s="226">
        <f ca="1" t="shared" si="352"/>
        <v>1926.144</v>
      </c>
      <c r="N682" s="280">
        <f ca="1" t="shared" si="357"/>
        <v>0.130221780672485</v>
      </c>
      <c r="O682" s="226">
        <f t="shared" si="362"/>
        <v>844.8</v>
      </c>
      <c r="P682" s="19">
        <f ca="1" t="shared" si="326"/>
        <v>13.8</v>
      </c>
      <c r="Q682" s="226">
        <f ca="1" t="shared" si="361"/>
        <v>2.28</v>
      </c>
      <c r="R682" s="269">
        <f ca="1" t="shared" si="333"/>
        <v>1.11883720881113</v>
      </c>
      <c r="S682" s="266">
        <f ca="1" t="shared" si="334"/>
        <v>105.109032606547</v>
      </c>
      <c r="T682" s="226">
        <f ca="1">(1+OFFSET('玩法产出(新)'!$C$18,MATCH(X682,'玩法产出(新)'!$B$19:$B$25,0),1)*(1-V682)+OFFSET('玩法产出(新)'!$C$18,1+MATCH(X682,'玩法产出(新)'!$B$19:$B$25,0),1)*(V682))^AA682*(1+OFFSET('玩法产出(新)'!$C$18,MATCH(X682,'玩法产出(新)'!$B$19:$B$25,0),3)*(1-V682)+OFFSET('玩法产出(新)'!$C$18,1+MATCH(X682,'玩法产出(新)'!$B$19:$B$25,0),3)*(V682))^AB682*(1+OFFSET('玩法产出(新)'!$C$18,MATCH(X682,'玩法产出(新)'!$B$19:$B$25,0),4)*(1-V682)+OFFSET('玩法产出(新)'!$C$18,1+MATCH(X682,'玩法产出(新)'!$B$19:$B$25,0),4)*(V682))^AC682*(1+OFFSET('玩法产出(新)'!$C$18,MATCH(X682,'玩法产出(新)'!$B$19:$B$25,0),5)*(1+V682)+OFFSET('玩法产出(新)'!$C$18,1+MATCH(X682,'玩法产出(新)'!$B$19:$B$25,5),1)*(V682))^AD682*(1+OFFSET('玩法产出(新)'!$C$18,MATCH(X682,'玩法产出(新)'!$B$19:$B$25,0),6)*(1+V682)+OFFSET('玩法产出(新)'!$C$18,1+MATCH(X682,'玩法产出(新)'!$B$19:$B$25,0),6)*(V682))^AE682</f>
        <v>1226.02816406038</v>
      </c>
      <c r="U682" s="226">
        <f ca="1" t="shared" si="353"/>
        <v>0.188132279982451</v>
      </c>
      <c r="V682" s="226">
        <f ca="1">COUNTIF($X$124:$X682,X682)/(COUNTIF($X$124:$X$723,X682)+1)</f>
        <v>0.91340206185567</v>
      </c>
      <c r="W682" s="19">
        <v>30</v>
      </c>
      <c r="X682" s="19" t="s">
        <v>326</v>
      </c>
      <c r="Y682" s="19">
        <f t="shared" si="359"/>
        <v>57060</v>
      </c>
      <c r="Z682" s="19">
        <f ca="1" t="shared" si="335"/>
        <v>0</v>
      </c>
      <c r="AA682" s="282">
        <f ca="1" t="shared" si="336"/>
        <v>0</v>
      </c>
      <c r="AB682" s="282">
        <f ca="1" t="shared" si="337"/>
        <v>18</v>
      </c>
      <c r="AC682" s="282">
        <f ca="1" t="shared" si="338"/>
        <v>11.78565</v>
      </c>
      <c r="AD682" s="282">
        <f ca="1" t="shared" si="339"/>
        <v>2.9464125</v>
      </c>
      <c r="AE682" s="282">
        <f ca="1" t="shared" si="340"/>
        <v>0.736603125</v>
      </c>
      <c r="AF682" s="19" t="str">
        <f t="shared" si="341"/>
        <v>彩6</v>
      </c>
      <c r="AG682" s="19">
        <f>IFERROR(_xlfn.XLOOKUP(C682+1,[2]基因升级!$E$141:$E$500,[2]基因升级!$D$141:$D$500)-1,AG681)</f>
        <v>120</v>
      </c>
      <c r="AH682" s="19">
        <v>8</v>
      </c>
      <c r="AI682" s="19">
        <f t="shared" si="342"/>
        <v>10.5142500606751</v>
      </c>
      <c r="AJ682" s="19">
        <f t="shared" si="354"/>
        <v>0</v>
      </c>
      <c r="AK682" s="269">
        <v>2.0368</v>
      </c>
      <c r="AL682" s="287">
        <f t="shared" si="363"/>
        <v>23.9999999999997</v>
      </c>
      <c r="AM682" s="287">
        <f t="shared" si="364"/>
        <v>20.3999999999997</v>
      </c>
      <c r="AN682" s="287">
        <f t="shared" si="325"/>
        <v>16.7999999999998</v>
      </c>
      <c r="AO682" s="287">
        <f t="shared" si="360"/>
        <v>13.1999999999999</v>
      </c>
      <c r="AP682" s="287">
        <f t="shared" si="365"/>
        <v>9.59999999999997</v>
      </c>
      <c r="AQ682" s="19">
        <f t="shared" si="343"/>
        <v>5.07236695338577</v>
      </c>
      <c r="AR682" s="19">
        <f t="shared" si="344"/>
        <v>3.97584152008272</v>
      </c>
      <c r="AS682" s="19">
        <f t="shared" si="345"/>
        <v>3.11635887901651</v>
      </c>
      <c r="AT682" s="19">
        <f t="shared" si="346"/>
        <v>2.44267600048177</v>
      </c>
      <c r="AU682" s="19">
        <f t="shared" si="347"/>
        <v>1.91462738245752</v>
      </c>
      <c r="AV682" s="232">
        <f t="shared" si="327"/>
        <v>0.0399999999999991</v>
      </c>
      <c r="AW682" s="232">
        <f t="shared" si="328"/>
        <v>0.0399999999999991</v>
      </c>
      <c r="AX682" s="232">
        <f t="shared" si="329"/>
        <v>0.0399999999999991</v>
      </c>
      <c r="AY682" s="232">
        <f t="shared" si="330"/>
        <v>0.0399999999999991</v>
      </c>
      <c r="AZ682" s="232">
        <f t="shared" si="331"/>
        <v>0.0399999999999991</v>
      </c>
    </row>
    <row r="683" spans="1:52">
      <c r="A683" s="269"/>
      <c r="C683" s="19">
        <v>560</v>
      </c>
      <c r="D683" s="86">
        <f ca="1" t="shared" si="355"/>
        <v>313.410335959078</v>
      </c>
      <c r="E683" s="251">
        <f ca="1" t="shared" si="332"/>
        <v>0.362590483780064</v>
      </c>
      <c r="F683" s="269">
        <f ca="1" t="shared" si="348"/>
        <v>561.568639322485</v>
      </c>
      <c r="G683" s="283">
        <f ca="1" t="shared" si="349"/>
        <v>203.619444607652</v>
      </c>
      <c r="H683" s="279">
        <f ca="1" t="shared" si="350"/>
        <v>0.174315213175873</v>
      </c>
      <c r="I683" s="269">
        <f ca="1">SUM($J$125:J683)/SUM($H$125:H683)</f>
        <v>0.446571834591229</v>
      </c>
      <c r="J683" s="284">
        <f t="shared" si="356"/>
        <v>0.0452307551537245</v>
      </c>
      <c r="K683" s="19">
        <f t="shared" si="358"/>
        <v>56900</v>
      </c>
      <c r="L683" s="269">
        <f t="shared" si="351"/>
        <v>3.84499999999994</v>
      </c>
      <c r="M683" s="226">
        <f ca="1" t="shared" si="352"/>
        <v>1943.04</v>
      </c>
      <c r="N683" s="280">
        <f ca="1" t="shared" si="357"/>
        <v>0.129084458022177</v>
      </c>
      <c r="O683" s="226">
        <f t="shared" si="362"/>
        <v>844.8</v>
      </c>
      <c r="P683" s="19">
        <f ca="1" t="shared" si="326"/>
        <v>14</v>
      </c>
      <c r="Q683" s="226">
        <f ca="1" t="shared" si="361"/>
        <v>2.3</v>
      </c>
      <c r="R683" s="269">
        <f ca="1" t="shared" si="333"/>
        <v>1.12084131229327</v>
      </c>
      <c r="S683" s="266">
        <f ca="1" t="shared" si="334"/>
        <v>105.297307877151</v>
      </c>
      <c r="T683" s="226">
        <f ca="1">(1+OFFSET('玩法产出(新)'!$C$18,MATCH(X683,'玩法产出(新)'!$B$19:$B$25,0),1)*(1-V683)+OFFSET('玩法产出(新)'!$C$18,1+MATCH(X683,'玩法产出(新)'!$B$19:$B$25,0),1)*(V683))^AA683*(1+OFFSET('玩法产出(新)'!$C$18,MATCH(X683,'玩法产出(新)'!$B$19:$B$25,0),3)*(1-V683)+OFFSET('玩法产出(新)'!$C$18,1+MATCH(X683,'玩法产出(新)'!$B$19:$B$25,0),3)*(V683))^AB683*(1+OFFSET('玩法产出(新)'!$C$18,MATCH(X683,'玩法产出(新)'!$B$19:$B$25,0),4)*(1-V683)+OFFSET('玩法产出(新)'!$C$18,1+MATCH(X683,'玩法产出(新)'!$B$19:$B$25,0),4)*(V683))^AC683*(1+OFFSET('玩法产出(新)'!$C$18,MATCH(X683,'玩法产出(新)'!$B$19:$B$25,0),5)*(1+V683)+OFFSET('玩法产出(新)'!$C$18,1+MATCH(X683,'玩法产出(新)'!$B$19:$B$25,5),1)*(V683))^AD683*(1+OFFSET('玩法产出(新)'!$C$18,MATCH(X683,'玩法产出(新)'!$B$19:$B$25,0),6)*(1+V683)+OFFSET('玩法产出(新)'!$C$18,1+MATCH(X683,'玩法产出(新)'!$B$19:$B$25,0),6)*(V683))^AE683</f>
        <v>1241.7457593214</v>
      </c>
      <c r="U683" s="226">
        <f ca="1" t="shared" si="353"/>
        <v>0.188275270604163</v>
      </c>
      <c r="V683" s="226">
        <f ca="1">COUNTIF($X$124:$X683,X683)/(COUNTIF($X$124:$X$723,X683)+1)</f>
        <v>0.915463917525773</v>
      </c>
      <c r="W683" s="19">
        <v>30</v>
      </c>
      <c r="X683" s="19" t="s">
        <v>326</v>
      </c>
      <c r="Y683" s="19">
        <f t="shared" si="359"/>
        <v>57160</v>
      </c>
      <c r="Z683" s="19">
        <f ca="1" t="shared" si="335"/>
        <v>0</v>
      </c>
      <c r="AA683" s="282">
        <f ca="1" t="shared" si="336"/>
        <v>0</v>
      </c>
      <c r="AB683" s="282">
        <f ca="1" t="shared" si="337"/>
        <v>18</v>
      </c>
      <c r="AC683" s="282">
        <f ca="1" t="shared" si="338"/>
        <v>11.8065</v>
      </c>
      <c r="AD683" s="282">
        <f ca="1" t="shared" si="339"/>
        <v>2.951625</v>
      </c>
      <c r="AE683" s="282">
        <f ca="1" t="shared" si="340"/>
        <v>0.73790625</v>
      </c>
      <c r="AF683" s="19" t="str">
        <f t="shared" si="341"/>
        <v>彩6</v>
      </c>
      <c r="AG683" s="19">
        <f>IFERROR(_xlfn.XLOOKUP(C683+1,[2]基因升级!$E$141:$E$500,[2]基因升级!$D$141:$D$500)-1,AG682)</f>
        <v>120</v>
      </c>
      <c r="AH683" s="19">
        <v>8</v>
      </c>
      <c r="AI683" s="19">
        <f t="shared" si="342"/>
        <v>10.5142500606751</v>
      </c>
      <c r="AJ683" s="19">
        <f t="shared" si="354"/>
        <v>0</v>
      </c>
      <c r="AK683" s="269">
        <v>2.0368</v>
      </c>
      <c r="AL683" s="287">
        <f t="shared" si="363"/>
        <v>24.0399999999997</v>
      </c>
      <c r="AM683" s="287">
        <f t="shared" si="364"/>
        <v>20.4399999999997</v>
      </c>
      <c r="AN683" s="287">
        <f t="shared" ref="AN683:AN723" si="366">AM593</f>
        <v>16.8399999999998</v>
      </c>
      <c r="AO683" s="287">
        <f t="shared" si="360"/>
        <v>13.2399999999999</v>
      </c>
      <c r="AP683" s="287">
        <f t="shared" si="365"/>
        <v>9.63999999999997</v>
      </c>
      <c r="AQ683" s="19">
        <f t="shared" si="343"/>
        <v>5.08611312564958</v>
      </c>
      <c r="AR683" s="19">
        <f t="shared" si="344"/>
        <v>3.98661609592294</v>
      </c>
      <c r="AS683" s="19">
        <f t="shared" si="345"/>
        <v>3.12480424710215</v>
      </c>
      <c r="AT683" s="19">
        <f t="shared" si="346"/>
        <v>2.44929568028725</v>
      </c>
      <c r="AU683" s="19">
        <f t="shared" si="347"/>
        <v>1.9198160444889</v>
      </c>
      <c r="AV683" s="232">
        <f t="shared" si="327"/>
        <v>0.0399999999999991</v>
      </c>
      <c r="AW683" s="232">
        <f t="shared" si="328"/>
        <v>0.0399999999999991</v>
      </c>
      <c r="AX683" s="232">
        <f t="shared" si="329"/>
        <v>0.0399999999999991</v>
      </c>
      <c r="AY683" s="232">
        <f t="shared" si="330"/>
        <v>0.0399999999999991</v>
      </c>
      <c r="AZ683" s="232">
        <f t="shared" si="331"/>
        <v>0.0399999999999991</v>
      </c>
    </row>
    <row r="684" spans="1:52">
      <c r="A684" s="269"/>
      <c r="C684" s="19">
        <v>561</v>
      </c>
      <c r="D684" s="86">
        <f ca="1" t="shared" si="355"/>
        <v>313.771881097534</v>
      </c>
      <c r="E684" s="251">
        <f ca="1" t="shared" si="332"/>
        <v>0.36154513845582</v>
      </c>
      <c r="F684" s="269">
        <f ca="1" t="shared" si="348"/>
        <v>563.671170958761</v>
      </c>
      <c r="G684" s="283">
        <f ca="1" t="shared" si="349"/>
        <v>203.792571547839</v>
      </c>
      <c r="H684" s="279">
        <f ca="1" t="shared" si="350"/>
        <v>0.173126940187103</v>
      </c>
      <c r="I684" s="269">
        <f ca="1">SUM($J$125:J684)/SUM($H$125:H684)</f>
        <v>0.446405917474306</v>
      </c>
      <c r="J684" s="284">
        <f t="shared" si="356"/>
        <v>0.0451601105442307</v>
      </c>
      <c r="K684" s="19">
        <f t="shared" si="358"/>
        <v>57000</v>
      </c>
      <c r="L684" s="269">
        <f t="shared" si="351"/>
        <v>3.84999999999994</v>
      </c>
      <c r="M684" s="226">
        <f ca="1" t="shared" si="352"/>
        <v>1959.936</v>
      </c>
      <c r="N684" s="280">
        <f ca="1" t="shared" si="357"/>
        <v>0.127966829642844</v>
      </c>
      <c r="O684" s="226">
        <f t="shared" si="362"/>
        <v>844.8</v>
      </c>
      <c r="P684" s="19">
        <f ca="1" t="shared" si="326"/>
        <v>14.2</v>
      </c>
      <c r="Q684" s="226">
        <f ca="1" t="shared" si="361"/>
        <v>2.32</v>
      </c>
      <c r="R684" s="269">
        <f ca="1" t="shared" si="333"/>
        <v>1.12284693717453</v>
      </c>
      <c r="S684" s="266">
        <f ca="1" t="shared" si="334"/>
        <v>105.48572607542</v>
      </c>
      <c r="T684" s="226">
        <f ca="1">(1+OFFSET('玩法产出(新)'!$C$18,MATCH(X684,'玩法产出(新)'!$B$19:$B$25,0),1)*(1-V684)+OFFSET('玩法产出(新)'!$C$18,1+MATCH(X684,'玩法产出(新)'!$B$19:$B$25,0),1)*(V684))^AA684*(1+OFFSET('玩法产出(新)'!$C$18,MATCH(X684,'玩法产出(新)'!$B$19:$B$25,0),3)*(1-V684)+OFFSET('玩法产出(新)'!$C$18,1+MATCH(X684,'玩法产出(新)'!$B$19:$B$25,0),3)*(V684))^AB684*(1+OFFSET('玩法产出(新)'!$C$18,MATCH(X684,'玩法产出(新)'!$B$19:$B$25,0),4)*(1-V684)+OFFSET('玩法产出(新)'!$C$18,1+MATCH(X684,'玩法产出(新)'!$B$19:$B$25,0),4)*(V684))^AC684*(1+OFFSET('玩法产出(新)'!$C$18,MATCH(X684,'玩法产出(新)'!$B$19:$B$25,0),5)*(1+V684)+OFFSET('玩法产出(新)'!$C$18,1+MATCH(X684,'玩法产出(新)'!$B$19:$B$25,5),1)*(V684))^AD684*(1+OFFSET('玩法产出(新)'!$C$18,MATCH(X684,'玩法产出(新)'!$B$19:$B$25,0),6)*(1+V684)+OFFSET('玩法产出(新)'!$C$18,1+MATCH(X684,'玩法产出(新)'!$B$19:$B$25,0),6)*(V684))^AE684</f>
        <v>1257.67701509963</v>
      </c>
      <c r="U684" s="226">
        <f ca="1" t="shared" si="353"/>
        <v>0.188418198268746</v>
      </c>
      <c r="V684" s="226">
        <f ca="1">COUNTIF($X$124:$X684,X684)/(COUNTIF($X$124:$X$723,X684)+1)</f>
        <v>0.917525773195876</v>
      </c>
      <c r="W684" s="19">
        <v>30</v>
      </c>
      <c r="X684" s="19" t="s">
        <v>326</v>
      </c>
      <c r="Y684" s="19">
        <f t="shared" si="359"/>
        <v>57260</v>
      </c>
      <c r="Z684" s="19">
        <f ca="1" t="shared" si="335"/>
        <v>0</v>
      </c>
      <c r="AA684" s="282">
        <f ca="1" t="shared" si="336"/>
        <v>0</v>
      </c>
      <c r="AB684" s="282">
        <f ca="1" t="shared" si="337"/>
        <v>18</v>
      </c>
      <c r="AC684" s="282">
        <f ca="1" t="shared" si="338"/>
        <v>11.82735</v>
      </c>
      <c r="AD684" s="282">
        <f ca="1" t="shared" si="339"/>
        <v>2.9568375</v>
      </c>
      <c r="AE684" s="282">
        <f ca="1" t="shared" si="340"/>
        <v>0.739209375</v>
      </c>
      <c r="AF684" s="19" t="str">
        <f t="shared" si="341"/>
        <v>彩6</v>
      </c>
      <c r="AG684" s="19">
        <f>IFERROR(_xlfn.XLOOKUP(C684+1,[2]基因升级!$E$141:$E$500,[2]基因升级!$D$141:$D$500)-1,AG683)</f>
        <v>120</v>
      </c>
      <c r="AH684" s="19">
        <v>8</v>
      </c>
      <c r="AI684" s="19">
        <f t="shared" si="342"/>
        <v>10.5142500606751</v>
      </c>
      <c r="AJ684" s="19">
        <f t="shared" si="354"/>
        <v>0</v>
      </c>
      <c r="AK684" s="269">
        <v>2.0368</v>
      </c>
      <c r="AL684" s="287">
        <f t="shared" si="363"/>
        <v>24.0799999999997</v>
      </c>
      <c r="AM684" s="287">
        <f t="shared" si="364"/>
        <v>20.4799999999997</v>
      </c>
      <c r="AN684" s="287">
        <f t="shared" si="366"/>
        <v>16.8799999999998</v>
      </c>
      <c r="AO684" s="287">
        <f t="shared" si="360"/>
        <v>13.2799999999999</v>
      </c>
      <c r="AP684" s="287">
        <f t="shared" si="365"/>
        <v>9.67999999999996</v>
      </c>
      <c r="AQ684" s="19">
        <f t="shared" si="343"/>
        <v>5.09989655019693</v>
      </c>
      <c r="AR684" s="19">
        <f t="shared" si="344"/>
        <v>3.9974198709865</v>
      </c>
      <c r="AS684" s="19">
        <f t="shared" si="345"/>
        <v>3.13327250223159</v>
      </c>
      <c r="AT684" s="19">
        <f t="shared" si="346"/>
        <v>2.45593329950046</v>
      </c>
      <c r="AU684" s="19">
        <f t="shared" si="347"/>
        <v>1.92501876785354</v>
      </c>
      <c r="AV684" s="232">
        <f t="shared" si="327"/>
        <v>0.0399999999999991</v>
      </c>
      <c r="AW684" s="232">
        <f t="shared" si="328"/>
        <v>0.0399999999999991</v>
      </c>
      <c r="AX684" s="232">
        <f t="shared" si="329"/>
        <v>0.0399999999999991</v>
      </c>
      <c r="AY684" s="232">
        <f t="shared" si="330"/>
        <v>0.0399999999999991</v>
      </c>
      <c r="AZ684" s="232">
        <f t="shared" si="331"/>
        <v>0.0399999999999991</v>
      </c>
    </row>
    <row r="685" spans="1:52">
      <c r="A685" s="269"/>
      <c r="C685" s="19">
        <v>562</v>
      </c>
      <c r="D685" s="86">
        <f ca="1" t="shared" si="355"/>
        <v>314.132400239802</v>
      </c>
      <c r="E685" s="251">
        <f ca="1" t="shared" si="332"/>
        <v>0.360519142267515</v>
      </c>
      <c r="F685" s="269">
        <f ca="1" t="shared" si="348"/>
        <v>565.752288059411</v>
      </c>
      <c r="G685" s="283">
        <f ca="1" t="shared" si="349"/>
        <v>203.964529627063</v>
      </c>
      <c r="H685" s="279">
        <f ca="1" t="shared" si="350"/>
        <v>0.171958079223373</v>
      </c>
      <c r="I685" s="269">
        <f ca="1">SUM($J$125:J685)/SUM($H$125:H685)</f>
        <v>0.446242622601096</v>
      </c>
      <c r="J685" s="284">
        <f t="shared" si="356"/>
        <v>0.0450896908500056</v>
      </c>
      <c r="K685" s="19">
        <f t="shared" si="358"/>
        <v>57100</v>
      </c>
      <c r="L685" s="269">
        <f t="shared" si="351"/>
        <v>3.85499999999994</v>
      </c>
      <c r="M685" s="226">
        <f ca="1" t="shared" si="352"/>
        <v>1976.832</v>
      </c>
      <c r="N685" s="280">
        <f ca="1" t="shared" si="357"/>
        <v>0.126868388373353</v>
      </c>
      <c r="O685" s="226">
        <f t="shared" si="362"/>
        <v>844.8</v>
      </c>
      <c r="P685" s="19">
        <f ca="1" t="shared" si="326"/>
        <v>14.4</v>
      </c>
      <c r="Q685" s="226">
        <f ca="1" t="shared" si="361"/>
        <v>2.34</v>
      </c>
      <c r="R685" s="269">
        <f ca="1" t="shared" si="333"/>
        <v>1.12485408278547</v>
      </c>
      <c r="S685" s="266">
        <f ca="1" t="shared" si="334"/>
        <v>105.674287138464</v>
      </c>
      <c r="T685" s="226">
        <f ca="1">(1+OFFSET('玩法产出(新)'!$C$18,MATCH(X685,'玩法产出(新)'!$B$19:$B$25,0),1)*(1-V685)+OFFSET('玩法产出(新)'!$C$18,1+MATCH(X685,'玩法产出(新)'!$B$19:$B$25,0),1)*(V685))^AA685*(1+OFFSET('玩法产出(新)'!$C$18,MATCH(X685,'玩法产出(新)'!$B$19:$B$25,0),3)*(1-V685)+OFFSET('玩法产出(新)'!$C$18,1+MATCH(X685,'玩法产出(新)'!$B$19:$B$25,0),3)*(V685))^AB685*(1+OFFSET('玩法产出(新)'!$C$18,MATCH(X685,'玩法产出(新)'!$B$19:$B$25,0),4)*(1-V685)+OFFSET('玩法产出(新)'!$C$18,1+MATCH(X685,'玩法产出(新)'!$B$19:$B$25,0),4)*(V685))^AC685*(1+OFFSET('玩法产出(新)'!$C$18,MATCH(X685,'玩法产出(新)'!$B$19:$B$25,0),5)*(1+V685)+OFFSET('玩法产出(新)'!$C$18,1+MATCH(X685,'玩法产出(新)'!$B$19:$B$25,5),1)*(V685))^AD685*(1+OFFSET('玩法产出(新)'!$C$18,MATCH(X685,'玩法产出(新)'!$B$19:$B$25,0),6)*(1+V685)+OFFSET('玩法产出(新)'!$C$18,1+MATCH(X685,'玩法产出(新)'!$B$19:$B$25,0),6)*(V685))^AE685</f>
        <v>1273.82497727835</v>
      </c>
      <c r="U685" s="226">
        <f ca="1" t="shared" si="353"/>
        <v>0.188561063044156</v>
      </c>
      <c r="V685" s="226">
        <f ca="1">COUNTIF($X$124:$X685,X685)/(COUNTIF($X$124:$X$723,X685)+1)</f>
        <v>0.919587628865979</v>
      </c>
      <c r="W685" s="19">
        <v>30</v>
      </c>
      <c r="X685" s="19" t="s">
        <v>326</v>
      </c>
      <c r="Y685" s="19">
        <f t="shared" si="359"/>
        <v>57360</v>
      </c>
      <c r="Z685" s="19">
        <f ca="1" t="shared" si="335"/>
        <v>0</v>
      </c>
      <c r="AA685" s="282">
        <f ca="1" t="shared" si="336"/>
        <v>0</v>
      </c>
      <c r="AB685" s="282">
        <f ca="1" t="shared" si="337"/>
        <v>18</v>
      </c>
      <c r="AC685" s="282">
        <f ca="1" t="shared" si="338"/>
        <v>11.8482</v>
      </c>
      <c r="AD685" s="282">
        <f ca="1" t="shared" si="339"/>
        <v>2.96205</v>
      </c>
      <c r="AE685" s="282">
        <f ca="1" t="shared" si="340"/>
        <v>0.7405125</v>
      </c>
      <c r="AF685" s="19" t="str">
        <f t="shared" si="341"/>
        <v>彩6</v>
      </c>
      <c r="AG685" s="19">
        <f>IFERROR(_xlfn.XLOOKUP(C685+1,[2]基因升级!$E$141:$E$500,[2]基因升级!$D$141:$D$500)-1,AG684)</f>
        <v>120</v>
      </c>
      <c r="AH685" s="19">
        <v>8</v>
      </c>
      <c r="AI685" s="19">
        <f t="shared" si="342"/>
        <v>10.5142500606751</v>
      </c>
      <c r="AJ685" s="19">
        <f t="shared" si="354"/>
        <v>0</v>
      </c>
      <c r="AK685" s="269">
        <v>2.0368</v>
      </c>
      <c r="AL685" s="287">
        <f t="shared" si="363"/>
        <v>24.1199999999997</v>
      </c>
      <c r="AM685" s="287">
        <f t="shared" si="364"/>
        <v>20.5199999999997</v>
      </c>
      <c r="AN685" s="287">
        <f t="shared" si="366"/>
        <v>16.9199999999998</v>
      </c>
      <c r="AO685" s="287">
        <f t="shared" si="360"/>
        <v>13.3199999999999</v>
      </c>
      <c r="AP685" s="287">
        <f t="shared" si="365"/>
        <v>9.71999999999996</v>
      </c>
      <c r="AQ685" s="19">
        <f t="shared" si="343"/>
        <v>5.11371732798191</v>
      </c>
      <c r="AR685" s="19">
        <f t="shared" si="344"/>
        <v>4.00825292440365</v>
      </c>
      <c r="AS685" s="19">
        <f t="shared" si="345"/>
        <v>3.14176370642895</v>
      </c>
      <c r="AT685" s="19">
        <f t="shared" si="346"/>
        <v>2.4625889067374</v>
      </c>
      <c r="AU685" s="19">
        <f t="shared" si="347"/>
        <v>1.93023559065779</v>
      </c>
      <c r="AV685" s="232">
        <f t="shared" si="327"/>
        <v>0.0399999999999991</v>
      </c>
      <c r="AW685" s="232">
        <f t="shared" si="328"/>
        <v>0.0399999999999991</v>
      </c>
      <c r="AX685" s="232">
        <f t="shared" si="329"/>
        <v>0.0399999999999991</v>
      </c>
      <c r="AY685" s="232">
        <f t="shared" si="330"/>
        <v>0.0399999999999991</v>
      </c>
      <c r="AZ685" s="232">
        <f t="shared" si="331"/>
        <v>0.0399999999999991</v>
      </c>
    </row>
    <row r="686" spans="1:52">
      <c r="A686" s="269"/>
      <c r="C686" s="19">
        <v>563</v>
      </c>
      <c r="D686" s="86">
        <f ca="1" t="shared" si="355"/>
        <v>314.491912244097</v>
      </c>
      <c r="E686" s="251">
        <f ca="1" t="shared" si="332"/>
        <v>0.359512004294993</v>
      </c>
      <c r="F686" s="269">
        <f ca="1" t="shared" si="348"/>
        <v>567.812299249009</v>
      </c>
      <c r="G686" s="283">
        <f ca="1" t="shared" si="349"/>
        <v>204.13533776636</v>
      </c>
      <c r="H686" s="279">
        <f ca="1" t="shared" si="350"/>
        <v>0.170808139296696</v>
      </c>
      <c r="I686" s="269">
        <f ca="1">SUM($J$125:J686)/SUM($H$125:H686)</f>
        <v>0.446081897730386</v>
      </c>
      <c r="J686" s="284">
        <f t="shared" si="356"/>
        <v>0.0450194949787317</v>
      </c>
      <c r="K686" s="19">
        <f t="shared" si="358"/>
        <v>57200</v>
      </c>
      <c r="L686" s="269">
        <f t="shared" si="351"/>
        <v>3.85999999999994</v>
      </c>
      <c r="M686" s="226">
        <f ca="1" t="shared" si="352"/>
        <v>1993.728</v>
      </c>
      <c r="N686" s="280">
        <f ca="1" t="shared" si="357"/>
        <v>0.125788644317993</v>
      </c>
      <c r="O686" s="226">
        <f t="shared" si="362"/>
        <v>844.8</v>
      </c>
      <c r="P686" s="19">
        <f ca="1" t="shared" si="326"/>
        <v>14.6</v>
      </c>
      <c r="Q686" s="226">
        <f ca="1" t="shared" si="361"/>
        <v>2.36</v>
      </c>
      <c r="R686" s="269">
        <f ca="1" t="shared" si="333"/>
        <v>1.1268627484574</v>
      </c>
      <c r="S686" s="266">
        <f ca="1" t="shared" si="334"/>
        <v>105.862991003462</v>
      </c>
      <c r="T686" s="226">
        <f ca="1">(1+OFFSET('玩法产出(新)'!$C$18,MATCH(X686,'玩法产出(新)'!$B$19:$B$25,0),1)*(1-V686)+OFFSET('玩法产出(新)'!$C$18,1+MATCH(X686,'玩法产出(新)'!$B$19:$B$25,0),1)*(V686))^AA686*(1+OFFSET('玩法产出(新)'!$C$18,MATCH(X686,'玩法产出(新)'!$B$19:$B$25,0),3)*(1-V686)+OFFSET('玩法产出(新)'!$C$18,1+MATCH(X686,'玩法产出(新)'!$B$19:$B$25,0),3)*(V686))^AB686*(1+OFFSET('玩法产出(新)'!$C$18,MATCH(X686,'玩法产出(新)'!$B$19:$B$25,0),4)*(1-V686)+OFFSET('玩法产出(新)'!$C$18,1+MATCH(X686,'玩法产出(新)'!$B$19:$B$25,0),4)*(V686))^AC686*(1+OFFSET('玩法产出(新)'!$C$18,MATCH(X686,'玩法产出(新)'!$B$19:$B$25,0),5)*(1+V686)+OFFSET('玩法产出(新)'!$C$18,1+MATCH(X686,'玩法产出(新)'!$B$19:$B$25,5),1)*(V686))^AD686*(1+OFFSET('玩法产出(新)'!$C$18,MATCH(X686,'玩法产出(新)'!$B$19:$B$25,0),6)*(1+V686)+OFFSET('玩法产出(新)'!$C$18,1+MATCH(X686,'玩法产出(新)'!$B$19:$B$25,0),6)*(V686))^AE686</f>
        <v>1290.19273695788</v>
      </c>
      <c r="U686" s="226">
        <f ca="1" t="shared" si="353"/>
        <v>0.188703864998269</v>
      </c>
      <c r="V686" s="226">
        <f ca="1">COUNTIF($X$124:$X686,X686)/(COUNTIF($X$124:$X$723,X686)+1)</f>
        <v>0.921649484536082</v>
      </c>
      <c r="W686" s="19">
        <v>30</v>
      </c>
      <c r="X686" s="19" t="s">
        <v>326</v>
      </c>
      <c r="Y686" s="19">
        <f t="shared" si="359"/>
        <v>57460</v>
      </c>
      <c r="Z686" s="19">
        <f ca="1" t="shared" si="335"/>
        <v>0</v>
      </c>
      <c r="AA686" s="282">
        <f ca="1" t="shared" si="336"/>
        <v>0</v>
      </c>
      <c r="AB686" s="282">
        <f ca="1" t="shared" si="337"/>
        <v>18</v>
      </c>
      <c r="AC686" s="282">
        <f ca="1" t="shared" si="338"/>
        <v>11.86905</v>
      </c>
      <c r="AD686" s="282">
        <f ca="1" t="shared" si="339"/>
        <v>2.9672625</v>
      </c>
      <c r="AE686" s="282">
        <f ca="1" t="shared" si="340"/>
        <v>0.741815625</v>
      </c>
      <c r="AF686" s="19" t="str">
        <f t="shared" si="341"/>
        <v>彩6</v>
      </c>
      <c r="AG686" s="19">
        <f>IFERROR(_xlfn.XLOOKUP(C686+1,[2]基因升级!$E$141:$E$500,[2]基因升级!$D$141:$D$500)-1,AG685)</f>
        <v>121</v>
      </c>
      <c r="AH686" s="19">
        <v>8</v>
      </c>
      <c r="AI686" s="19">
        <f t="shared" si="342"/>
        <v>10.5142500606751</v>
      </c>
      <c r="AJ686" s="19">
        <f t="shared" si="354"/>
        <v>0</v>
      </c>
      <c r="AK686" s="269">
        <v>2.0368</v>
      </c>
      <c r="AL686" s="287">
        <f t="shared" si="363"/>
        <v>24.1599999999997</v>
      </c>
      <c r="AM686" s="287">
        <f t="shared" si="364"/>
        <v>20.5599999999997</v>
      </c>
      <c r="AN686" s="287">
        <f t="shared" si="366"/>
        <v>16.9599999999998</v>
      </c>
      <c r="AO686" s="287">
        <f t="shared" si="360"/>
        <v>13.3599999999999</v>
      </c>
      <c r="AP686" s="287">
        <f t="shared" si="365"/>
        <v>9.75999999999996</v>
      </c>
      <c r="AQ686" s="19">
        <f t="shared" si="343"/>
        <v>5.12757556023223</v>
      </c>
      <c r="AR686" s="19">
        <f t="shared" si="344"/>
        <v>4.01911533551903</v>
      </c>
      <c r="AS686" s="19">
        <f t="shared" si="345"/>
        <v>3.15027792188648</v>
      </c>
      <c r="AT686" s="19">
        <f t="shared" si="346"/>
        <v>2.46926255074582</v>
      </c>
      <c r="AU686" s="19">
        <f t="shared" si="347"/>
        <v>1.93546655111132</v>
      </c>
      <c r="AV686" s="232">
        <f t="shared" si="327"/>
        <v>0.0399999999999991</v>
      </c>
      <c r="AW686" s="232">
        <f t="shared" si="328"/>
        <v>0.0399999999999991</v>
      </c>
      <c r="AX686" s="232">
        <f t="shared" si="329"/>
        <v>0.0399999999999991</v>
      </c>
      <c r="AY686" s="232">
        <f t="shared" si="330"/>
        <v>0.0399999999999991</v>
      </c>
      <c r="AZ686" s="232">
        <f t="shared" si="331"/>
        <v>0.0399999999999991</v>
      </c>
    </row>
    <row r="687" spans="1:52">
      <c r="A687" s="269"/>
      <c r="C687" s="19">
        <v>564</v>
      </c>
      <c r="D687" s="86">
        <f ca="1" t="shared" si="355"/>
        <v>314.850435494259</v>
      </c>
      <c r="E687" s="251">
        <f ca="1" t="shared" si="332"/>
        <v>0.358523250162062</v>
      </c>
      <c r="F687" s="269">
        <f ca="1" t="shared" si="348"/>
        <v>569.851507036075</v>
      </c>
      <c r="G687" s="283">
        <f ca="1" t="shared" si="349"/>
        <v>204.305014412323</v>
      </c>
      <c r="H687" s="279">
        <f ca="1" t="shared" si="350"/>
        <v>0.169676645963392</v>
      </c>
      <c r="I687" s="269">
        <f ca="1">SUM($J$125:J687)/SUM($H$125:H687)</f>
        <v>0.445923692042902</v>
      </c>
      <c r="J687" s="284">
        <f t="shared" si="356"/>
        <v>0.0449495218451545</v>
      </c>
      <c r="K687" s="19">
        <f t="shared" si="358"/>
        <v>57300</v>
      </c>
      <c r="L687" s="269">
        <f t="shared" si="351"/>
        <v>3.86499999999994</v>
      </c>
      <c r="M687" s="226">
        <f ca="1" t="shared" si="352"/>
        <v>2010.624</v>
      </c>
      <c r="N687" s="280">
        <f ca="1" t="shared" si="357"/>
        <v>0.124727124118209</v>
      </c>
      <c r="O687" s="226">
        <f t="shared" si="362"/>
        <v>844.8</v>
      </c>
      <c r="P687" s="19">
        <f ca="1" t="shared" si="326"/>
        <v>14.8</v>
      </c>
      <c r="Q687" s="226">
        <f ca="1" t="shared" si="361"/>
        <v>2.38</v>
      </c>
      <c r="R687" s="269">
        <f ca="1" t="shared" si="333"/>
        <v>1.12887293352233</v>
      </c>
      <c r="S687" s="266">
        <f ca="1" t="shared" si="334"/>
        <v>106.051837607661</v>
      </c>
      <c r="T687" s="226">
        <f ca="1">(1+OFFSET('玩法产出(新)'!$C$18,MATCH(X687,'玩法产出(新)'!$B$19:$B$25,0),1)*(1-V687)+OFFSET('玩法产出(新)'!$C$18,1+MATCH(X687,'玩法产出(新)'!$B$19:$B$25,0),1)*(V687))^AA687*(1+OFFSET('玩法产出(新)'!$C$18,MATCH(X687,'玩法产出(新)'!$B$19:$B$25,0),3)*(1-V687)+OFFSET('玩法产出(新)'!$C$18,1+MATCH(X687,'玩法产出(新)'!$B$19:$B$25,0),3)*(V687))^AB687*(1+OFFSET('玩法产出(新)'!$C$18,MATCH(X687,'玩法产出(新)'!$B$19:$B$25,0),4)*(1-V687)+OFFSET('玩法产出(新)'!$C$18,1+MATCH(X687,'玩法产出(新)'!$B$19:$B$25,0),4)*(V687))^AC687*(1+OFFSET('玩法产出(新)'!$C$18,MATCH(X687,'玩法产出(新)'!$B$19:$B$25,0),5)*(1+V687)+OFFSET('玩法产出(新)'!$C$18,1+MATCH(X687,'玩法产出(新)'!$B$19:$B$25,5),1)*(V687))^AD687*(1+OFFSET('玩法产出(新)'!$C$18,MATCH(X687,'玩法产出(新)'!$B$19:$B$25,0),6)*(1+V687)+OFFSET('玩法产出(新)'!$C$18,1+MATCH(X687,'玩法产出(新)'!$B$19:$B$25,0),6)*(V687))^AE687</f>
        <v>1306.78343115112</v>
      </c>
      <c r="U687" s="226">
        <f ca="1" t="shared" si="353"/>
        <v>0.188846604198699</v>
      </c>
      <c r="V687" s="226">
        <f ca="1">COUNTIF($X$124:$X687,X687)/(COUNTIF($X$124:$X$723,X687)+1)</f>
        <v>0.923711340206186</v>
      </c>
      <c r="W687" s="19">
        <v>30</v>
      </c>
      <c r="X687" s="19" t="s">
        <v>326</v>
      </c>
      <c r="Y687" s="19">
        <f t="shared" si="359"/>
        <v>57560</v>
      </c>
      <c r="Z687" s="19">
        <f ca="1" t="shared" si="335"/>
        <v>0</v>
      </c>
      <c r="AA687" s="282">
        <f ca="1" t="shared" si="336"/>
        <v>0</v>
      </c>
      <c r="AB687" s="282">
        <f ca="1" t="shared" si="337"/>
        <v>18</v>
      </c>
      <c r="AC687" s="282">
        <f ca="1" t="shared" si="338"/>
        <v>11.8899</v>
      </c>
      <c r="AD687" s="282">
        <f ca="1" t="shared" si="339"/>
        <v>2.972475</v>
      </c>
      <c r="AE687" s="282">
        <f ca="1" t="shared" si="340"/>
        <v>0.74311875</v>
      </c>
      <c r="AF687" s="19" t="str">
        <f t="shared" si="341"/>
        <v>彩6</v>
      </c>
      <c r="AG687" s="19">
        <f>IFERROR(_xlfn.XLOOKUP(C687+1,[2]基因升级!$E$141:$E$500,[2]基因升级!$D$141:$D$500)-1,AG686)</f>
        <v>121</v>
      </c>
      <c r="AH687" s="19">
        <v>8</v>
      </c>
      <c r="AI687" s="19">
        <f t="shared" si="342"/>
        <v>10.5142500606751</v>
      </c>
      <c r="AJ687" s="19">
        <f t="shared" si="354"/>
        <v>0</v>
      </c>
      <c r="AK687" s="269">
        <v>2.0368</v>
      </c>
      <c r="AL687" s="287">
        <f t="shared" si="363"/>
        <v>24.1999999999997</v>
      </c>
      <c r="AM687" s="287">
        <f t="shared" si="364"/>
        <v>20.5999999999997</v>
      </c>
      <c r="AN687" s="287">
        <f t="shared" si="366"/>
        <v>16.9999999999998</v>
      </c>
      <c r="AO687" s="287">
        <f t="shared" si="360"/>
        <v>13.3999999999999</v>
      </c>
      <c r="AP687" s="287">
        <f t="shared" si="365"/>
        <v>9.79999999999996</v>
      </c>
      <c r="AQ687" s="19">
        <f t="shared" si="343"/>
        <v>5.14147134844993</v>
      </c>
      <c r="AR687" s="19">
        <f t="shared" si="344"/>
        <v>4.03000718389237</v>
      </c>
      <c r="AS687" s="19">
        <f t="shared" si="345"/>
        <v>3.15881521096495</v>
      </c>
      <c r="AT687" s="19">
        <f t="shared" si="346"/>
        <v>2.47595428040558</v>
      </c>
      <c r="AU687" s="19">
        <f t="shared" si="347"/>
        <v>1.9407116875273</v>
      </c>
      <c r="AV687" s="232">
        <f t="shared" si="327"/>
        <v>0.0399999999999991</v>
      </c>
      <c r="AW687" s="232">
        <f t="shared" si="328"/>
        <v>0.0399999999999991</v>
      </c>
      <c r="AX687" s="232">
        <f t="shared" si="329"/>
        <v>0.0399999999999991</v>
      </c>
      <c r="AY687" s="232">
        <f t="shared" si="330"/>
        <v>0.0399999999999991</v>
      </c>
      <c r="AZ687" s="232">
        <f t="shared" si="331"/>
        <v>0.0399999999999991</v>
      </c>
    </row>
    <row r="688" spans="1:52">
      <c r="A688" s="269"/>
      <c r="C688" s="19">
        <v>565</v>
      </c>
      <c r="D688" s="86">
        <f ca="1" t="shared" si="355"/>
        <v>315.207987915604</v>
      </c>
      <c r="E688" s="251">
        <f ca="1" t="shared" si="332"/>
        <v>0.357552421345048</v>
      </c>
      <c r="F688" s="269">
        <f ca="1" t="shared" si="348"/>
        <v>571.870207964924</v>
      </c>
      <c r="G688" s="283">
        <f ca="1" t="shared" si="349"/>
        <v>204.473577552955</v>
      </c>
      <c r="H688" s="279">
        <f ca="1" t="shared" si="350"/>
        <v>0.168563140631761</v>
      </c>
      <c r="I688" s="269">
        <f ca="1">SUM($J$125:J688)/SUM($H$125:H688)</f>
        <v>0.445767956091403</v>
      </c>
      <c r="J688" s="284">
        <f t="shared" si="356"/>
        <v>0.0448797703712103</v>
      </c>
      <c r="K688" s="19">
        <f t="shared" si="358"/>
        <v>57400</v>
      </c>
      <c r="L688" s="269">
        <f t="shared" si="351"/>
        <v>3.86999999999994</v>
      </c>
      <c r="M688" s="226">
        <f ca="1" t="shared" si="352"/>
        <v>2027.52</v>
      </c>
      <c r="N688" s="280">
        <f ca="1" t="shared" si="357"/>
        <v>0.123683370260565</v>
      </c>
      <c r="O688" s="226">
        <f t="shared" si="362"/>
        <v>844.8</v>
      </c>
      <c r="P688" s="19">
        <f ca="1" t="shared" si="326"/>
        <v>15</v>
      </c>
      <c r="Q688" s="226">
        <f ca="1" t="shared" si="361"/>
        <v>2.4</v>
      </c>
      <c r="R688" s="269">
        <f ca="1" t="shared" si="333"/>
        <v>1.130884637313</v>
      </c>
      <c r="S688" s="266">
        <f ca="1" t="shared" si="334"/>
        <v>106.240826888374</v>
      </c>
      <c r="T688" s="226">
        <f ca="1">(1+OFFSET('玩法产出(新)'!$C$18,MATCH(X688,'玩法产出(新)'!$B$19:$B$25,0),1)*(1-V688)+OFFSET('玩法产出(新)'!$C$18,1+MATCH(X688,'玩法产出(新)'!$B$19:$B$25,0),1)*(V688))^AA688*(1+OFFSET('玩法产出(新)'!$C$18,MATCH(X688,'玩法产出(新)'!$B$19:$B$25,0),3)*(1-V688)+OFFSET('玩法产出(新)'!$C$18,1+MATCH(X688,'玩法产出(新)'!$B$19:$B$25,0),3)*(V688))^AB688*(1+OFFSET('玩法产出(新)'!$C$18,MATCH(X688,'玩法产出(新)'!$B$19:$B$25,0),4)*(1-V688)+OFFSET('玩法产出(新)'!$C$18,1+MATCH(X688,'玩法产出(新)'!$B$19:$B$25,0),4)*(V688))^AC688*(1+OFFSET('玩法产出(新)'!$C$18,MATCH(X688,'玩法产出(新)'!$B$19:$B$25,0),5)*(1+V688)+OFFSET('玩法产出(新)'!$C$18,1+MATCH(X688,'玩法产出(新)'!$B$19:$B$25,5),1)*(V688))^AD688*(1+OFFSET('玩法产出(新)'!$C$18,MATCH(X688,'玩法产出(新)'!$B$19:$B$25,0),6)*(1+V688)+OFFSET('玩法产出(新)'!$C$18,1+MATCH(X688,'玩法产出(新)'!$B$19:$B$25,0),6)*(V688))^AE688</f>
        <v>1323.60024349008</v>
      </c>
      <c r="U688" s="226">
        <f ca="1" t="shared" si="353"/>
        <v>0.188989280713273</v>
      </c>
      <c r="V688" s="226">
        <f ca="1">COUNTIF($X$124:$X688,X688)/(COUNTIF($X$124:$X$723,X688)+1)</f>
        <v>0.925773195876289</v>
      </c>
      <c r="W688" s="19">
        <v>30</v>
      </c>
      <c r="X688" s="19" t="s">
        <v>326</v>
      </c>
      <c r="Y688" s="19">
        <f t="shared" si="359"/>
        <v>57660</v>
      </c>
      <c r="Z688" s="19">
        <f ca="1" t="shared" si="335"/>
        <v>0</v>
      </c>
      <c r="AA688" s="282">
        <f ca="1" t="shared" si="336"/>
        <v>0</v>
      </c>
      <c r="AB688" s="282">
        <f ca="1" t="shared" si="337"/>
        <v>18</v>
      </c>
      <c r="AC688" s="282">
        <f ca="1" t="shared" si="338"/>
        <v>11.91075</v>
      </c>
      <c r="AD688" s="282">
        <f ca="1" t="shared" si="339"/>
        <v>2.9776875</v>
      </c>
      <c r="AE688" s="282">
        <f ca="1" t="shared" si="340"/>
        <v>0.744421875</v>
      </c>
      <c r="AF688" s="19" t="str">
        <f t="shared" si="341"/>
        <v>彩6</v>
      </c>
      <c r="AG688" s="19">
        <f>IFERROR(_xlfn.XLOOKUP(C688+1,[2]基因升级!$E$141:$E$500,[2]基因升级!$D$141:$D$500)-1,AG687)</f>
        <v>121</v>
      </c>
      <c r="AH688" s="19">
        <v>8</v>
      </c>
      <c r="AI688" s="19">
        <f t="shared" si="342"/>
        <v>10.5142500606751</v>
      </c>
      <c r="AJ688" s="19">
        <f t="shared" si="354"/>
        <v>0</v>
      </c>
      <c r="AK688" s="269">
        <v>2.0368</v>
      </c>
      <c r="AL688" s="287">
        <f t="shared" si="363"/>
        <v>24.2399999999997</v>
      </c>
      <c r="AM688" s="287">
        <f t="shared" si="364"/>
        <v>20.6399999999997</v>
      </c>
      <c r="AN688" s="287">
        <f t="shared" si="366"/>
        <v>17.0399999999998</v>
      </c>
      <c r="AO688" s="287">
        <f t="shared" si="360"/>
        <v>13.4399999999999</v>
      </c>
      <c r="AP688" s="287">
        <f t="shared" si="365"/>
        <v>9.83999999999996</v>
      </c>
      <c r="AQ688" s="19">
        <f t="shared" si="343"/>
        <v>5.15540479441209</v>
      </c>
      <c r="AR688" s="19">
        <f t="shared" si="344"/>
        <v>4.04092854929895</v>
      </c>
      <c r="AS688" s="19">
        <f t="shared" si="345"/>
        <v>3.16737563619414</v>
      </c>
      <c r="AT688" s="19">
        <f t="shared" si="346"/>
        <v>2.48266414472899</v>
      </c>
      <c r="AU688" s="19">
        <f t="shared" si="347"/>
        <v>1.94597103832276</v>
      </c>
      <c r="AV688" s="232">
        <f t="shared" si="327"/>
        <v>0.0399999999999991</v>
      </c>
      <c r="AW688" s="232">
        <f t="shared" si="328"/>
        <v>0.0399999999999991</v>
      </c>
      <c r="AX688" s="232">
        <f t="shared" si="329"/>
        <v>0.0399999999999991</v>
      </c>
      <c r="AY688" s="232">
        <f t="shared" si="330"/>
        <v>0.0399999999999991</v>
      </c>
      <c r="AZ688" s="232">
        <f t="shared" si="331"/>
        <v>0.0399999999999991</v>
      </c>
    </row>
    <row r="689" spans="1:52">
      <c r="A689" s="269"/>
      <c r="C689" s="19">
        <v>566</v>
      </c>
      <c r="D689" s="86">
        <f ca="1" t="shared" si="355"/>
        <v>315.564586990118</v>
      </c>
      <c r="E689" s="251">
        <f ca="1" t="shared" si="332"/>
        <v>0.356599074514468</v>
      </c>
      <c r="F689" s="269">
        <f ca="1" t="shared" si="348"/>
        <v>573.868692765094</v>
      </c>
      <c r="G689" s="283">
        <f ca="1" t="shared" si="349"/>
        <v>204.64104473286</v>
      </c>
      <c r="H689" s="279">
        <f ca="1" t="shared" si="350"/>
        <v>0.167467179905117</v>
      </c>
      <c r="I689" s="269">
        <f ca="1">SUM($J$125:J689)/SUM($H$125:H689)</f>
        <v>0.445614641752931</v>
      </c>
      <c r="J689" s="284">
        <f t="shared" si="356"/>
        <v>0.044810239485912</v>
      </c>
      <c r="K689" s="19">
        <f t="shared" si="358"/>
        <v>57500</v>
      </c>
      <c r="L689" s="269">
        <f t="shared" si="351"/>
        <v>3.87499999999994</v>
      </c>
      <c r="M689" s="226">
        <f ca="1" t="shared" si="352"/>
        <v>2044.416</v>
      </c>
      <c r="N689" s="280">
        <f ca="1" t="shared" si="357"/>
        <v>0.122656940419191</v>
      </c>
      <c r="O689" s="226">
        <f t="shared" si="362"/>
        <v>844.8</v>
      </c>
      <c r="P689" s="19">
        <f ca="1" t="shared" si="326"/>
        <v>15.2</v>
      </c>
      <c r="Q689" s="226">
        <f ca="1" t="shared" si="361"/>
        <v>2.42</v>
      </c>
      <c r="R689" s="269">
        <f ca="1" t="shared" si="333"/>
        <v>1.13289785916287</v>
      </c>
      <c r="S689" s="266">
        <f ca="1" t="shared" si="334"/>
        <v>106.429958782983</v>
      </c>
      <c r="T689" s="226">
        <f ca="1">(1+OFFSET('玩法产出(新)'!$C$18,MATCH(X689,'玩法产出(新)'!$B$19:$B$25,0),1)*(1-V689)+OFFSET('玩法产出(新)'!$C$18,1+MATCH(X689,'玩法产出(新)'!$B$19:$B$25,0),1)*(V689))^AA689*(1+OFFSET('玩法产出(新)'!$C$18,MATCH(X689,'玩法产出(新)'!$B$19:$B$25,0),3)*(1-V689)+OFFSET('玩法产出(新)'!$C$18,1+MATCH(X689,'玩法产出(新)'!$B$19:$B$25,0),3)*(V689))^AB689*(1+OFFSET('玩法产出(新)'!$C$18,MATCH(X689,'玩法产出(新)'!$B$19:$B$25,0),4)*(1-V689)+OFFSET('玩法产出(新)'!$C$18,1+MATCH(X689,'玩法产出(新)'!$B$19:$B$25,0),4)*(V689))^AC689*(1+OFFSET('玩法产出(新)'!$C$18,MATCH(X689,'玩法产出(新)'!$B$19:$B$25,0),5)*(1+V689)+OFFSET('玩法产出(新)'!$C$18,1+MATCH(X689,'玩法产出(新)'!$B$19:$B$25,5),1)*(V689))^AD689*(1+OFFSET('玩法产出(新)'!$C$18,MATCH(X689,'玩法产出(新)'!$B$19:$B$25,0),6)*(1+V689)+OFFSET('玩法产出(新)'!$C$18,1+MATCH(X689,'玩法产出(新)'!$B$19:$B$25,0),6)*(V689))^AE689</f>
        <v>1340.64640494368</v>
      </c>
      <c r="U689" s="226">
        <f ca="1" t="shared" si="353"/>
        <v>0.189131894609365</v>
      </c>
      <c r="V689" s="226">
        <f ca="1">COUNTIF($X$124:$X689,X689)/(COUNTIF($X$124:$X$723,X689)+1)</f>
        <v>0.927835051546392</v>
      </c>
      <c r="W689" s="19">
        <v>30</v>
      </c>
      <c r="X689" s="19" t="s">
        <v>326</v>
      </c>
      <c r="Y689" s="19">
        <f t="shared" si="359"/>
        <v>57760</v>
      </c>
      <c r="Z689" s="19">
        <f ca="1" t="shared" si="335"/>
        <v>0</v>
      </c>
      <c r="AA689" s="282">
        <f ca="1" t="shared" si="336"/>
        <v>0</v>
      </c>
      <c r="AB689" s="282">
        <f ca="1" t="shared" si="337"/>
        <v>18</v>
      </c>
      <c r="AC689" s="282">
        <f ca="1" t="shared" si="338"/>
        <v>11.9316</v>
      </c>
      <c r="AD689" s="282">
        <f ca="1" t="shared" si="339"/>
        <v>2.9829</v>
      </c>
      <c r="AE689" s="282">
        <f ca="1" t="shared" si="340"/>
        <v>0.745725</v>
      </c>
      <c r="AF689" s="19" t="str">
        <f t="shared" si="341"/>
        <v>彩6</v>
      </c>
      <c r="AG689" s="19">
        <f>IFERROR(_xlfn.XLOOKUP(C689+1,[2]基因升级!$E$141:$E$500,[2]基因升级!$D$141:$D$500)-1,AG688)</f>
        <v>121</v>
      </c>
      <c r="AH689" s="19">
        <v>8</v>
      </c>
      <c r="AI689" s="19">
        <f t="shared" si="342"/>
        <v>10.5142500606751</v>
      </c>
      <c r="AJ689" s="19">
        <f t="shared" si="354"/>
        <v>0</v>
      </c>
      <c r="AK689" s="269">
        <v>2.0368</v>
      </c>
      <c r="AL689" s="287">
        <f t="shared" si="363"/>
        <v>24.2799999999997</v>
      </c>
      <c r="AM689" s="287">
        <f t="shared" si="364"/>
        <v>20.6799999999997</v>
      </c>
      <c r="AN689" s="287">
        <f t="shared" si="366"/>
        <v>17.0799999999998</v>
      </c>
      <c r="AO689" s="287">
        <f t="shared" si="360"/>
        <v>13.4799999999999</v>
      </c>
      <c r="AP689" s="287">
        <f t="shared" si="365"/>
        <v>9.87999999999996</v>
      </c>
      <c r="AQ689" s="19">
        <f t="shared" si="343"/>
        <v>5.16937600017164</v>
      </c>
      <c r="AR689" s="19">
        <f t="shared" si="344"/>
        <v>4.05187951173028</v>
      </c>
      <c r="AS689" s="19">
        <f t="shared" si="345"/>
        <v>3.17595926027328</v>
      </c>
      <c r="AT689" s="19">
        <f t="shared" si="346"/>
        <v>2.4893921928612</v>
      </c>
      <c r="AU689" s="19">
        <f t="shared" si="347"/>
        <v>1.95124464201883</v>
      </c>
      <c r="AV689" s="232">
        <f t="shared" si="327"/>
        <v>0.0399999999999991</v>
      </c>
      <c r="AW689" s="232">
        <f t="shared" si="328"/>
        <v>0.0399999999999991</v>
      </c>
      <c r="AX689" s="232">
        <f t="shared" si="329"/>
        <v>0.0399999999999991</v>
      </c>
      <c r="AY689" s="232">
        <f t="shared" si="330"/>
        <v>0.0399999999999991</v>
      </c>
      <c r="AZ689" s="232">
        <f t="shared" si="331"/>
        <v>0.0399999999999991</v>
      </c>
    </row>
    <row r="690" spans="1:52">
      <c r="A690" s="269"/>
      <c r="C690" s="19">
        <v>567</v>
      </c>
      <c r="D690" s="86">
        <f ca="1" t="shared" si="355"/>
        <v>315.920249771029</v>
      </c>
      <c r="E690" s="251">
        <f ca="1" t="shared" si="332"/>
        <v>0.355662780910361</v>
      </c>
      <c r="F690" s="269">
        <f ca="1" t="shared" si="348"/>
        <v>575.847246494523</v>
      </c>
      <c r="G690" s="283">
        <f ca="1" t="shared" si="349"/>
        <v>204.807433067816</v>
      </c>
      <c r="H690" s="279">
        <f ca="1" t="shared" si="350"/>
        <v>0.166388334955911</v>
      </c>
      <c r="I690" s="269">
        <f ca="1">SUM($J$125:J690)/SUM($H$125:H690)</f>
        <v>0.445463702183095</v>
      </c>
      <c r="J690" s="284">
        <f t="shared" si="356"/>
        <v>0.0447409281251652</v>
      </c>
      <c r="K690" s="19">
        <f t="shared" si="358"/>
        <v>57600</v>
      </c>
      <c r="L690" s="269">
        <f t="shared" si="351"/>
        <v>3.87999999999994</v>
      </c>
      <c r="M690" s="226">
        <f ca="1" t="shared" si="352"/>
        <v>2061.312</v>
      </c>
      <c r="N690" s="280">
        <f ca="1" t="shared" si="357"/>
        <v>0.121647406830789</v>
      </c>
      <c r="O690" s="226">
        <f t="shared" si="362"/>
        <v>844.8</v>
      </c>
      <c r="P690" s="19">
        <f ca="1" t="shared" si="326"/>
        <v>15.4</v>
      </c>
      <c r="Q690" s="226">
        <f ca="1" t="shared" si="361"/>
        <v>2.44</v>
      </c>
      <c r="R690" s="269">
        <f ca="1" t="shared" si="333"/>
        <v>1.13491259840611</v>
      </c>
      <c r="S690" s="266">
        <f ca="1" t="shared" si="334"/>
        <v>106.619233228938</v>
      </c>
      <c r="T690" s="226">
        <f ca="1">(1+OFFSET('玩法产出(新)'!$C$18,MATCH(X690,'玩法产出(新)'!$B$19:$B$25,0),1)*(1-V690)+OFFSET('玩法产出(新)'!$C$18,1+MATCH(X690,'玩法产出(新)'!$B$19:$B$25,0),1)*(V690))^AA690*(1+OFFSET('玩法产出(新)'!$C$18,MATCH(X690,'玩法产出(新)'!$B$19:$B$25,0),3)*(1-V690)+OFFSET('玩法产出(新)'!$C$18,1+MATCH(X690,'玩法产出(新)'!$B$19:$B$25,0),3)*(V690))^AB690*(1+OFFSET('玩法产出(新)'!$C$18,MATCH(X690,'玩法产出(新)'!$B$19:$B$25,0),4)*(1-V690)+OFFSET('玩法产出(新)'!$C$18,1+MATCH(X690,'玩法产出(新)'!$B$19:$B$25,0),4)*(V690))^AC690*(1+OFFSET('玩法产出(新)'!$C$18,MATCH(X690,'玩法产出(新)'!$B$19:$B$25,0),5)*(1+V690)+OFFSET('玩法产出(新)'!$C$18,1+MATCH(X690,'玩法产出(新)'!$B$19:$B$25,5),1)*(V690))^AD690*(1+OFFSET('玩法产出(新)'!$C$18,MATCH(X690,'玩法产出(新)'!$B$19:$B$25,0),6)*(1+V690)+OFFSET('玩法产出(新)'!$C$18,1+MATCH(X690,'玩法产出(新)'!$B$19:$B$25,0),6)*(V690))^AE690</f>
        <v>1357.92519454688</v>
      </c>
      <c r="U690" s="226">
        <f ca="1" t="shared" si="353"/>
        <v>0.189274445954406</v>
      </c>
      <c r="V690" s="226">
        <f ca="1">COUNTIF($X$124:$X690,X690)/(COUNTIF($X$124:$X$723,X690)+1)</f>
        <v>0.929896907216495</v>
      </c>
      <c r="W690" s="19">
        <v>30</v>
      </c>
      <c r="X690" s="19" t="s">
        <v>326</v>
      </c>
      <c r="Y690" s="19">
        <f t="shared" si="359"/>
        <v>57860</v>
      </c>
      <c r="Z690" s="19">
        <f ca="1" t="shared" si="335"/>
        <v>0</v>
      </c>
      <c r="AA690" s="282">
        <f ca="1" t="shared" si="336"/>
        <v>0</v>
      </c>
      <c r="AB690" s="282">
        <f ca="1" t="shared" si="337"/>
        <v>18</v>
      </c>
      <c r="AC690" s="282">
        <f ca="1" t="shared" si="338"/>
        <v>11.95245</v>
      </c>
      <c r="AD690" s="282">
        <f ca="1" t="shared" si="339"/>
        <v>2.9881125</v>
      </c>
      <c r="AE690" s="282">
        <f ca="1" t="shared" si="340"/>
        <v>0.747028125</v>
      </c>
      <c r="AF690" s="19" t="str">
        <f t="shared" si="341"/>
        <v>彩6</v>
      </c>
      <c r="AG690" s="19">
        <f>IFERROR(_xlfn.XLOOKUP(C690+1,[2]基因升级!$E$141:$E$500,[2]基因升级!$D$141:$D$500)-1,AG689)</f>
        <v>121</v>
      </c>
      <c r="AH690" s="19">
        <v>8</v>
      </c>
      <c r="AI690" s="19">
        <f t="shared" si="342"/>
        <v>10.5142500606751</v>
      </c>
      <c r="AJ690" s="19">
        <f t="shared" si="354"/>
        <v>0</v>
      </c>
      <c r="AK690" s="269">
        <v>2.0368</v>
      </c>
      <c r="AL690" s="287">
        <f t="shared" si="363"/>
        <v>24.3199999999997</v>
      </c>
      <c r="AM690" s="287">
        <f t="shared" si="364"/>
        <v>20.7199999999997</v>
      </c>
      <c r="AN690" s="287">
        <f t="shared" si="366"/>
        <v>17.1199999999998</v>
      </c>
      <c r="AO690" s="287">
        <f t="shared" si="360"/>
        <v>13.5199999999999</v>
      </c>
      <c r="AP690" s="287">
        <f t="shared" si="365"/>
        <v>9.91999999999996</v>
      </c>
      <c r="AQ690" s="19">
        <f t="shared" si="343"/>
        <v>5.18338506805805</v>
      </c>
      <c r="AR690" s="19">
        <f t="shared" si="344"/>
        <v>4.06286015139462</v>
      </c>
      <c r="AS690" s="19">
        <f t="shared" si="345"/>
        <v>3.18456614607153</v>
      </c>
      <c r="AT690" s="19">
        <f t="shared" si="346"/>
        <v>2.49613847408055</v>
      </c>
      <c r="AU690" s="19">
        <f t="shared" si="347"/>
        <v>1.95653253724102</v>
      </c>
      <c r="AV690" s="232">
        <f t="shared" si="327"/>
        <v>0.0399999999999991</v>
      </c>
      <c r="AW690" s="232">
        <f t="shared" si="328"/>
        <v>0.0399999999999991</v>
      </c>
      <c r="AX690" s="232">
        <f t="shared" si="329"/>
        <v>0.0399999999999991</v>
      </c>
      <c r="AY690" s="232">
        <f t="shared" si="330"/>
        <v>0.0399999999999991</v>
      </c>
      <c r="AZ690" s="232">
        <f t="shared" si="331"/>
        <v>0.0399999999999991</v>
      </c>
    </row>
    <row r="691" spans="1:52">
      <c r="A691" s="269"/>
      <c r="C691" s="19">
        <v>568</v>
      </c>
      <c r="D691" s="86">
        <f ca="1" t="shared" si="355"/>
        <v>316.274992896776</v>
      </c>
      <c r="E691" s="251">
        <f ca="1" t="shared" si="332"/>
        <v>0.354743125747941</v>
      </c>
      <c r="F691" s="269">
        <f ca="1" t="shared" si="348"/>
        <v>577.806148678943</v>
      </c>
      <c r="G691" s="283">
        <f ca="1" t="shared" si="349"/>
        <v>204.972759258748</v>
      </c>
      <c r="H691" s="279">
        <f ca="1" t="shared" si="350"/>
        <v>0.165326190932234</v>
      </c>
      <c r="I691" s="269">
        <f ca="1">SUM($J$125:J691)/SUM($H$125:H691)</f>
        <v>0.445315091772293</v>
      </c>
      <c r="J691" s="284">
        <f t="shared" si="356"/>
        <v>0.044671835231938</v>
      </c>
      <c r="K691" s="19">
        <f t="shared" si="358"/>
        <v>57700</v>
      </c>
      <c r="L691" s="269">
        <f t="shared" si="351"/>
        <v>3.88499999999994</v>
      </c>
      <c r="M691" s="226">
        <f ca="1" t="shared" si="352"/>
        <v>2078.208</v>
      </c>
      <c r="N691" s="280">
        <f ca="1" t="shared" si="357"/>
        <v>0.120654355700296</v>
      </c>
      <c r="O691" s="226">
        <f t="shared" si="362"/>
        <v>844.8</v>
      </c>
      <c r="P691" s="19">
        <f ca="1" t="shared" si="326"/>
        <v>15.6</v>
      </c>
      <c r="Q691" s="226">
        <f ca="1" t="shared" si="361"/>
        <v>2.46</v>
      </c>
      <c r="R691" s="269">
        <f ca="1" t="shared" si="333"/>
        <v>1.1369288543776</v>
      </c>
      <c r="S691" s="266">
        <f ca="1" t="shared" si="334"/>
        <v>106.808650163753</v>
      </c>
      <c r="T691" s="226">
        <f ca="1">(1+OFFSET('玩法产出(新)'!$C$18,MATCH(X691,'玩法产出(新)'!$B$19:$B$25,0),1)*(1-V691)+OFFSET('玩法产出(新)'!$C$18,1+MATCH(X691,'玩法产出(新)'!$B$19:$B$25,0),1)*(V691))^AA691*(1+OFFSET('玩法产出(新)'!$C$18,MATCH(X691,'玩法产出(新)'!$B$19:$B$25,0),3)*(1-V691)+OFFSET('玩法产出(新)'!$C$18,1+MATCH(X691,'玩法产出(新)'!$B$19:$B$25,0),3)*(V691))^AB691*(1+OFFSET('玩法产出(新)'!$C$18,MATCH(X691,'玩法产出(新)'!$B$19:$B$25,0),4)*(1-V691)+OFFSET('玩法产出(新)'!$C$18,1+MATCH(X691,'玩法产出(新)'!$B$19:$B$25,0),4)*(V691))^AC691*(1+OFFSET('玩法产出(新)'!$C$18,MATCH(X691,'玩法产出(新)'!$B$19:$B$25,0),5)*(1+V691)+OFFSET('玩法产出(新)'!$C$18,1+MATCH(X691,'玩法产出(新)'!$B$19:$B$25,5),1)*(V691))^AD691*(1+OFFSET('玩法产出(新)'!$C$18,MATCH(X691,'玩法产出(新)'!$B$19:$B$25,0),6)*(1+V691)+OFFSET('玩法产出(新)'!$C$18,1+MATCH(X691,'玩法产出(新)'!$B$19:$B$25,0),6)*(V691))^AE691</f>
        <v>1375.4399401415</v>
      </c>
      <c r="U691" s="226">
        <f ca="1" t="shared" si="353"/>
        <v>0.189416934815707</v>
      </c>
      <c r="V691" s="226">
        <f ca="1">COUNTIF($X$124:$X691,X691)/(COUNTIF($X$124:$X$723,X691)+1)</f>
        <v>0.931958762886598</v>
      </c>
      <c r="W691" s="19">
        <v>30</v>
      </c>
      <c r="X691" s="19" t="s">
        <v>326</v>
      </c>
      <c r="Y691" s="19">
        <f t="shared" si="359"/>
        <v>57960</v>
      </c>
      <c r="Z691" s="19">
        <f ca="1" t="shared" si="335"/>
        <v>0</v>
      </c>
      <c r="AA691" s="282">
        <f ca="1" t="shared" si="336"/>
        <v>0</v>
      </c>
      <c r="AB691" s="282">
        <f ca="1" t="shared" si="337"/>
        <v>18</v>
      </c>
      <c r="AC691" s="282">
        <f ca="1" t="shared" si="338"/>
        <v>11.9733</v>
      </c>
      <c r="AD691" s="282">
        <f ca="1" t="shared" si="339"/>
        <v>2.993325</v>
      </c>
      <c r="AE691" s="282">
        <f ca="1" t="shared" si="340"/>
        <v>0.74833125</v>
      </c>
      <c r="AF691" s="19" t="str">
        <f t="shared" si="341"/>
        <v>彩6</v>
      </c>
      <c r="AG691" s="19">
        <f>IFERROR(_xlfn.XLOOKUP(C691+1,[2]基因升级!$E$141:$E$500,[2]基因升级!$D$141:$D$500)-1,AG690)</f>
        <v>121</v>
      </c>
      <c r="AH691" s="19">
        <v>8</v>
      </c>
      <c r="AI691" s="19">
        <f t="shared" si="342"/>
        <v>10.5142500606751</v>
      </c>
      <c r="AJ691" s="19">
        <f t="shared" si="354"/>
        <v>0</v>
      </c>
      <c r="AK691" s="269">
        <v>2.0368</v>
      </c>
      <c r="AL691" s="287">
        <f t="shared" si="363"/>
        <v>24.3599999999997</v>
      </c>
      <c r="AM691" s="287">
        <f t="shared" si="364"/>
        <v>20.7599999999997</v>
      </c>
      <c r="AN691" s="287">
        <f t="shared" si="366"/>
        <v>17.1599999999998</v>
      </c>
      <c r="AO691" s="287">
        <f t="shared" si="360"/>
        <v>13.5599999999999</v>
      </c>
      <c r="AP691" s="287">
        <f t="shared" si="365"/>
        <v>9.95999999999996</v>
      </c>
      <c r="AQ691" s="19">
        <f t="shared" si="343"/>
        <v>5.19743210067813</v>
      </c>
      <c r="AR691" s="19">
        <f t="shared" si="344"/>
        <v>4.07387054871763</v>
      </c>
      <c r="AS691" s="19">
        <f t="shared" si="345"/>
        <v>3.19319635662839</v>
      </c>
      <c r="AT691" s="19">
        <f t="shared" si="346"/>
        <v>2.50290303779891</v>
      </c>
      <c r="AU691" s="19">
        <f t="shared" si="347"/>
        <v>1.96183476271955</v>
      </c>
      <c r="AV691" s="232">
        <f t="shared" si="327"/>
        <v>0.0399999999999991</v>
      </c>
      <c r="AW691" s="232">
        <f t="shared" si="328"/>
        <v>0.0399999999999991</v>
      </c>
      <c r="AX691" s="232">
        <f t="shared" si="329"/>
        <v>0.0399999999999991</v>
      </c>
      <c r="AY691" s="232">
        <f t="shared" si="330"/>
        <v>0.0399999999999991</v>
      </c>
      <c r="AZ691" s="232">
        <f t="shared" si="331"/>
        <v>0.0399999999999991</v>
      </c>
    </row>
    <row r="692" spans="1:52">
      <c r="A692" s="269"/>
      <c r="C692" s="19">
        <v>569</v>
      </c>
      <c r="D692" s="86">
        <f ca="1" t="shared" si="355"/>
        <v>316.628832604428</v>
      </c>
      <c r="E692" s="251">
        <f ca="1" t="shared" si="332"/>
        <v>0.35383970765166</v>
      </c>
      <c r="F692" s="269">
        <f ca="1" t="shared" si="348"/>
        <v>579.745673447956</v>
      </c>
      <c r="G692" s="283">
        <f ca="1" t="shared" si="349"/>
        <v>205.137039605139</v>
      </c>
      <c r="H692" s="279">
        <f ca="1" t="shared" si="350"/>
        <v>0.164280346391251</v>
      </c>
      <c r="I692" s="269">
        <f ca="1">SUM($J$125:J692)/SUM($H$125:H692)</f>
        <v>0.445168766103771</v>
      </c>
      <c r="J692" s="284">
        <f t="shared" si="356"/>
        <v>0.0446029597559772</v>
      </c>
      <c r="K692" s="19">
        <f t="shared" si="358"/>
        <v>57800</v>
      </c>
      <c r="L692" s="269">
        <f t="shared" si="351"/>
        <v>3.88999999999994</v>
      </c>
      <c r="M692" s="226">
        <f ca="1" t="shared" si="352"/>
        <v>2095.104</v>
      </c>
      <c r="N692" s="280">
        <f ca="1" t="shared" si="357"/>
        <v>0.11967738663526</v>
      </c>
      <c r="O692" s="226">
        <f t="shared" si="362"/>
        <v>844.8</v>
      </c>
      <c r="P692" s="19">
        <f ca="1" t="shared" si="326"/>
        <v>15.8</v>
      </c>
      <c r="Q692" s="226">
        <f ca="1" t="shared" si="361"/>
        <v>2.48</v>
      </c>
      <c r="R692" s="269">
        <f ca="1" t="shared" si="333"/>
        <v>1.13894662641295</v>
      </c>
      <c r="S692" s="266">
        <f ca="1" t="shared" si="334"/>
        <v>106.998209525014</v>
      </c>
      <c r="T692" s="226">
        <f ca="1">(1+OFFSET('玩法产出(新)'!$C$18,MATCH(X692,'玩法产出(新)'!$B$19:$B$25,0),1)*(1-V692)+OFFSET('玩法产出(新)'!$C$18,1+MATCH(X692,'玩法产出(新)'!$B$19:$B$25,0),1)*(V692))^AA692*(1+OFFSET('玩法产出(新)'!$C$18,MATCH(X692,'玩法产出(新)'!$B$19:$B$25,0),3)*(1-V692)+OFFSET('玩法产出(新)'!$C$18,1+MATCH(X692,'玩法产出(新)'!$B$19:$B$25,0),3)*(V692))^AB692*(1+OFFSET('玩法产出(新)'!$C$18,MATCH(X692,'玩法产出(新)'!$B$19:$B$25,0),4)*(1-V692)+OFFSET('玩法产出(新)'!$C$18,1+MATCH(X692,'玩法产出(新)'!$B$19:$B$25,0),4)*(V692))^AC692*(1+OFFSET('玩法产出(新)'!$C$18,MATCH(X692,'玩法产出(新)'!$B$19:$B$25,0),5)*(1+V692)+OFFSET('玩法产出(新)'!$C$18,1+MATCH(X692,'玩法产出(新)'!$B$19:$B$25,5),1)*(V692))^AD692*(1+OFFSET('玩法产出(新)'!$C$18,MATCH(X692,'玩法产出(新)'!$B$19:$B$25,0),6)*(1+V692)+OFFSET('玩法产出(新)'!$C$18,1+MATCH(X692,'玩法产出(新)'!$B$19:$B$25,0),6)*(V692))^AE692</f>
        <v>1393.19401912876</v>
      </c>
      <c r="U692" s="226">
        <f ca="1" t="shared" si="353"/>
        <v>0.189559361260422</v>
      </c>
      <c r="V692" s="226">
        <f ca="1">COUNTIF($X$124:$X692,X692)/(COUNTIF($X$124:$X$723,X692)+1)</f>
        <v>0.934020618556701</v>
      </c>
      <c r="W692" s="19">
        <v>30</v>
      </c>
      <c r="X692" s="19" t="s">
        <v>326</v>
      </c>
      <c r="Y692" s="19">
        <f t="shared" si="359"/>
        <v>58060</v>
      </c>
      <c r="Z692" s="19">
        <f ca="1" t="shared" si="335"/>
        <v>0</v>
      </c>
      <c r="AA692" s="282">
        <f ca="1" t="shared" si="336"/>
        <v>0</v>
      </c>
      <c r="AB692" s="282">
        <f ca="1" t="shared" si="337"/>
        <v>18</v>
      </c>
      <c r="AC692" s="282">
        <f ca="1" t="shared" si="338"/>
        <v>11.99415</v>
      </c>
      <c r="AD692" s="282">
        <f ca="1" t="shared" si="339"/>
        <v>2.9985375</v>
      </c>
      <c r="AE692" s="282">
        <f ca="1" t="shared" si="340"/>
        <v>0.749634375</v>
      </c>
      <c r="AF692" s="19" t="str">
        <f t="shared" si="341"/>
        <v>彩6</v>
      </c>
      <c r="AG692" s="19">
        <f>IFERROR(_xlfn.XLOOKUP(C692+1,[2]基因升级!$E$141:$E$500,[2]基因升级!$D$141:$D$500)-1,AG691)</f>
        <v>121</v>
      </c>
      <c r="AH692" s="19">
        <v>8</v>
      </c>
      <c r="AI692" s="19">
        <f t="shared" si="342"/>
        <v>10.5142500606751</v>
      </c>
      <c r="AJ692" s="19">
        <f t="shared" si="354"/>
        <v>0</v>
      </c>
      <c r="AK692" s="269">
        <v>2.0368</v>
      </c>
      <c r="AL692" s="287">
        <f t="shared" si="363"/>
        <v>24.3999999999997</v>
      </c>
      <c r="AM692" s="287">
        <f t="shared" si="364"/>
        <v>20.7999999999997</v>
      </c>
      <c r="AN692" s="287">
        <f t="shared" si="366"/>
        <v>17.1999999999998</v>
      </c>
      <c r="AO692" s="287">
        <f t="shared" si="360"/>
        <v>13.5999999999999</v>
      </c>
      <c r="AP692" s="287">
        <f t="shared" si="365"/>
        <v>9.99999999999996</v>
      </c>
      <c r="AQ692" s="19">
        <f t="shared" si="343"/>
        <v>5.21151720091673</v>
      </c>
      <c r="AR692" s="19">
        <f t="shared" si="344"/>
        <v>4.08491078434288</v>
      </c>
      <c r="AS692" s="19">
        <f t="shared" si="345"/>
        <v>3.20184995515424</v>
      </c>
      <c r="AT692" s="19">
        <f t="shared" si="346"/>
        <v>2.50968593356204</v>
      </c>
      <c r="AU692" s="19">
        <f t="shared" si="347"/>
        <v>1.96715135728956</v>
      </c>
      <c r="AV692" s="232">
        <f t="shared" si="327"/>
        <v>0.0399999999999991</v>
      </c>
      <c r="AW692" s="232">
        <f t="shared" si="328"/>
        <v>0.0399999999999991</v>
      </c>
      <c r="AX692" s="232">
        <f t="shared" si="329"/>
        <v>0.0399999999999991</v>
      </c>
      <c r="AY692" s="232">
        <f t="shared" si="330"/>
        <v>0.0399999999999991</v>
      </c>
      <c r="AZ692" s="232">
        <f t="shared" si="331"/>
        <v>0.0399999999999991</v>
      </c>
    </row>
    <row r="693" spans="1:52">
      <c r="A693" s="269"/>
      <c r="C693" s="19">
        <v>570</v>
      </c>
      <c r="D693" s="86">
        <f ca="1" t="shared" si="355"/>
        <v>316.920986215062</v>
      </c>
      <c r="E693" s="251">
        <f ca="1" t="shared" si="332"/>
        <v>0.292153610634273</v>
      </c>
      <c r="F693" s="269">
        <f ca="1" t="shared" si="348"/>
        <v>702.713512840689</v>
      </c>
      <c r="G693" s="283">
        <f ca="1" t="shared" si="349"/>
        <v>205.300290017901</v>
      </c>
      <c r="H693" s="279">
        <f ca="1" t="shared" si="350"/>
        <v>0.163250412761556</v>
      </c>
      <c r="I693" s="269">
        <f ca="1">SUM($J$125:J693)/SUM($H$125:H693)</f>
        <v>0.445024681913428</v>
      </c>
      <c r="J693" s="284">
        <f t="shared" si="356"/>
        <v>0.0445343006539787</v>
      </c>
      <c r="K693" s="19">
        <f t="shared" si="358"/>
        <v>57900</v>
      </c>
      <c r="L693" s="269">
        <f t="shared" si="351"/>
        <v>3.89499999999994</v>
      </c>
      <c r="M693" s="226">
        <f ca="1" t="shared" si="352"/>
        <v>2112</v>
      </c>
      <c r="N693" s="280">
        <f ca="1" t="shared" si="357"/>
        <v>0.118716112107563</v>
      </c>
      <c r="O693" s="226">
        <f t="shared" si="362"/>
        <v>844.8</v>
      </c>
      <c r="P693" s="19">
        <f ca="1" t="shared" si="326"/>
        <v>16</v>
      </c>
      <c r="Q693" s="226">
        <f ca="1" t="shared" si="361"/>
        <v>2.5</v>
      </c>
      <c r="R693" s="269">
        <f ca="1" t="shared" si="333"/>
        <v>1.14031874154462</v>
      </c>
      <c r="S693" s="266">
        <f ca="1" t="shared" si="334"/>
        <v>107.127112722887</v>
      </c>
      <c r="T693" s="226">
        <f ca="1">(1+OFFSET('玩法产出(新)'!$C$18,MATCH(X693,'玩法产出(新)'!$B$19:$B$25,0),1)*(1-V693)+OFFSET('玩法产出(新)'!$C$18,1+MATCH(X693,'玩法产出(新)'!$B$19:$B$25,0),1)*(V693))^AA693*(1+OFFSET('玩法产出(新)'!$C$18,MATCH(X693,'玩法产出(新)'!$B$19:$B$25,0),3)*(1-V693)+OFFSET('玩法产出(新)'!$C$18,1+MATCH(X693,'玩法产出(新)'!$B$19:$B$25,0),3)*(V693))^AB693*(1+OFFSET('玩法产出(新)'!$C$18,MATCH(X693,'玩法产出(新)'!$B$19:$B$25,0),4)*(1-V693)+OFFSET('玩法产出(新)'!$C$18,1+MATCH(X693,'玩法产出(新)'!$B$19:$B$25,0),4)*(V693))^AC693*(1+OFFSET('玩法产出(新)'!$C$18,MATCH(X693,'玩法产出(新)'!$B$19:$B$25,0),5)*(1+V693)+OFFSET('玩法产出(新)'!$C$18,1+MATCH(X693,'玩法产出(新)'!$B$19:$B$25,5),1)*(V693))^AD693*(1+OFFSET('玩法产出(新)'!$C$18,MATCH(X693,'玩法产出(新)'!$B$19:$B$25,0),6)*(1+V693)+OFFSET('玩法产出(新)'!$C$18,1+MATCH(X693,'玩法产出(新)'!$B$19:$B$25,0),6)*(V693))^AE693</f>
        <v>1405.39778365001</v>
      </c>
      <c r="U693" s="226">
        <f ca="1" t="shared" si="353"/>
        <v>0.128903197872731</v>
      </c>
      <c r="V693" s="226">
        <f ca="1">COUNTIF($X$124:$X693,X693)/(COUNTIF($X$124:$X$723,X693)+1)</f>
        <v>0.936082474226804</v>
      </c>
      <c r="W693" s="19">
        <v>30</v>
      </c>
      <c r="X693" s="19" t="s">
        <v>326</v>
      </c>
      <c r="Y693" s="19">
        <f t="shared" si="359"/>
        <v>58160</v>
      </c>
      <c r="Z693" s="19">
        <f ca="1" t="shared" si="335"/>
        <v>0</v>
      </c>
      <c r="AA693" s="282">
        <f ca="1" t="shared" si="336"/>
        <v>0</v>
      </c>
      <c r="AB693" s="282">
        <f ca="1" t="shared" si="337"/>
        <v>18</v>
      </c>
      <c r="AC693" s="282">
        <f ca="1" t="shared" si="338"/>
        <v>12</v>
      </c>
      <c r="AD693" s="282">
        <f ca="1" t="shared" si="339"/>
        <v>3.00375</v>
      </c>
      <c r="AE693" s="282">
        <f ca="1" t="shared" si="340"/>
        <v>0.7509375</v>
      </c>
      <c r="AF693" s="19" t="str">
        <f t="shared" si="341"/>
        <v>彩6</v>
      </c>
      <c r="AG693" s="19">
        <f>IFERROR(_xlfn.XLOOKUP(C693+1,[2]基因升级!$E$141:$E$500,[2]基因升级!$D$141:$D$500)-1,AG692)</f>
        <v>121</v>
      </c>
      <c r="AH693" s="19">
        <v>8</v>
      </c>
      <c r="AI693" s="19">
        <f t="shared" si="342"/>
        <v>10.5142500606751</v>
      </c>
      <c r="AJ693" s="19">
        <f t="shared" si="354"/>
        <v>0</v>
      </c>
      <c r="AK693" s="269">
        <v>2.0368</v>
      </c>
      <c r="AL693" s="287">
        <f t="shared" si="363"/>
        <v>24.4399999999996</v>
      </c>
      <c r="AM693" s="287">
        <f t="shared" si="364"/>
        <v>20.8399999999997</v>
      </c>
      <c r="AN693" s="287">
        <f t="shared" si="366"/>
        <v>17.2399999999998</v>
      </c>
      <c r="AO693" s="287">
        <f t="shared" si="360"/>
        <v>13.6399999999999</v>
      </c>
      <c r="AP693" s="287">
        <f t="shared" si="365"/>
        <v>10.04</v>
      </c>
      <c r="AQ693" s="19">
        <f t="shared" si="343"/>
        <v>5.22564047193753</v>
      </c>
      <c r="AR693" s="19">
        <f t="shared" si="344"/>
        <v>4.09598093913254</v>
      </c>
      <c r="AS693" s="19">
        <f t="shared" si="345"/>
        <v>3.21052700503074</v>
      </c>
      <c r="AT693" s="19">
        <f t="shared" si="346"/>
        <v>2.51648721105002</v>
      </c>
      <c r="AU693" s="19">
        <f t="shared" si="347"/>
        <v>1.97248235989146</v>
      </c>
      <c r="AV693" s="232">
        <f t="shared" si="327"/>
        <v>0.0399999999999991</v>
      </c>
      <c r="AW693" s="232">
        <f t="shared" si="328"/>
        <v>0.0399999999999991</v>
      </c>
      <c r="AX693" s="232">
        <f t="shared" si="329"/>
        <v>0.0399999999999991</v>
      </c>
      <c r="AY693" s="232">
        <f t="shared" si="330"/>
        <v>0.0399999999999991</v>
      </c>
      <c r="AZ693" s="232">
        <f t="shared" si="331"/>
        <v>0.0399999999999991</v>
      </c>
    </row>
    <row r="694" spans="1:52">
      <c r="A694" s="269"/>
      <c r="C694" s="19">
        <v>571</v>
      </c>
      <c r="D694" s="86">
        <f ca="1" t="shared" si="355"/>
        <v>317.188498173042</v>
      </c>
      <c r="E694" s="251">
        <f ca="1" t="shared" si="332"/>
        <v>0.267511957979682</v>
      </c>
      <c r="F694" s="269">
        <f ca="1" t="shared" si="348"/>
        <v>768.049875539906</v>
      </c>
      <c r="G694" s="283">
        <f ca="1" t="shared" si="349"/>
        <v>205.462526031731</v>
      </c>
      <c r="H694" s="279">
        <f ca="1" t="shared" si="350"/>
        <v>0.162236013830267</v>
      </c>
      <c r="I694" s="269">
        <f ca="1">SUM($J$125:J694)/SUM($H$125:H694)</f>
        <v>0.444882797051283</v>
      </c>
      <c r="J694" s="284">
        <f t="shared" si="356"/>
        <v>0.0444658568892748</v>
      </c>
      <c r="K694" s="19">
        <f t="shared" si="358"/>
        <v>58000</v>
      </c>
      <c r="L694" s="269">
        <f t="shared" si="351"/>
        <v>3.89999999999994</v>
      </c>
      <c r="M694" s="226">
        <f ca="1" t="shared" si="352"/>
        <v>2128.896</v>
      </c>
      <c r="N694" s="280">
        <f ca="1" t="shared" si="357"/>
        <v>0.117770156940992</v>
      </c>
      <c r="O694" s="226">
        <f t="shared" si="362"/>
        <v>844.8</v>
      </c>
      <c r="P694" s="19">
        <f ca="1" t="shared" si="326"/>
        <v>16.2</v>
      </c>
      <c r="Q694" s="226">
        <f ca="1" t="shared" si="361"/>
        <v>2.52</v>
      </c>
      <c r="R694" s="269">
        <f ca="1" t="shared" si="333"/>
        <v>1.14143935544988</v>
      </c>
      <c r="S694" s="266">
        <f ca="1" t="shared" si="334"/>
        <v>107.232388667036</v>
      </c>
      <c r="T694" s="226">
        <f ca="1">(1+OFFSET('玩法产出(新)'!$C$18,MATCH(X694,'玩法产出(新)'!$B$19:$B$25,0),1)*(1-V694)+OFFSET('玩法产出(新)'!$C$18,1+MATCH(X694,'玩法产出(新)'!$B$19:$B$25,0),1)*(V694))^AA694*(1+OFFSET('玩法产出(新)'!$C$18,MATCH(X694,'玩法产出(新)'!$B$19:$B$25,0),3)*(1-V694)+OFFSET('玩法产出(新)'!$C$18,1+MATCH(X694,'玩法产出(新)'!$B$19:$B$25,0),3)*(V694))^AB694*(1+OFFSET('玩法产出(新)'!$C$18,MATCH(X694,'玩法产出(新)'!$B$19:$B$25,0),4)*(1-V694)+OFFSET('玩法产出(新)'!$C$18,1+MATCH(X694,'玩法产出(新)'!$B$19:$B$25,0),4)*(V694))^AC694*(1+OFFSET('玩法产出(新)'!$C$18,MATCH(X694,'玩法产出(新)'!$B$19:$B$25,0),5)*(1+V694)+OFFSET('玩法产出(新)'!$C$18,1+MATCH(X694,'玩法产出(新)'!$B$19:$B$25,5),1)*(V694))^AD694*(1+OFFSET('玩法产出(新)'!$C$18,MATCH(X694,'玩法产出(新)'!$B$19:$B$25,0),6)*(1+V694)+OFFSET('玩法产出(新)'!$C$18,1+MATCH(X694,'玩法产出(新)'!$B$19:$B$25,0),6)*(V694))^AE694</f>
        <v>1415.44392647243</v>
      </c>
      <c r="U694" s="226">
        <f ca="1" t="shared" si="353"/>
        <v>0.105275944149415</v>
      </c>
      <c r="V694" s="226">
        <f ca="1">COUNTIF($X$124:$X694,X694)/(COUNTIF($X$124:$X$723,X694)+1)</f>
        <v>0.938144329896907</v>
      </c>
      <c r="W694" s="19">
        <v>30</v>
      </c>
      <c r="X694" s="19" t="s">
        <v>326</v>
      </c>
      <c r="Y694" s="19">
        <f t="shared" si="359"/>
        <v>58260</v>
      </c>
      <c r="Z694" s="19">
        <f ca="1" t="shared" si="335"/>
        <v>0</v>
      </c>
      <c r="AA694" s="282">
        <f ca="1" t="shared" si="336"/>
        <v>0</v>
      </c>
      <c r="AB694" s="282">
        <f ca="1" t="shared" si="337"/>
        <v>18</v>
      </c>
      <c r="AC694" s="282">
        <f ca="1" t="shared" si="338"/>
        <v>12</v>
      </c>
      <c r="AD694" s="282">
        <f ca="1" t="shared" si="339"/>
        <v>3.0089625</v>
      </c>
      <c r="AE694" s="282">
        <f ca="1" t="shared" si="340"/>
        <v>0.752240625</v>
      </c>
      <c r="AF694" s="19" t="str">
        <f t="shared" si="341"/>
        <v>彩6</v>
      </c>
      <c r="AG694" s="19">
        <f>IFERROR(_xlfn.XLOOKUP(C694+1,[2]基因升级!$E$141:$E$500,[2]基因升级!$D$141:$D$500)-1,AG693)</f>
        <v>121</v>
      </c>
      <c r="AH694" s="19">
        <v>8</v>
      </c>
      <c r="AI694" s="19">
        <f t="shared" si="342"/>
        <v>10.5142500606751</v>
      </c>
      <c r="AJ694" s="19">
        <f t="shared" si="354"/>
        <v>0</v>
      </c>
      <c r="AK694" s="269">
        <v>2.0368</v>
      </c>
      <c r="AL694" s="287">
        <f t="shared" si="363"/>
        <v>24.4799999999996</v>
      </c>
      <c r="AM694" s="287">
        <f t="shared" si="364"/>
        <v>20.8799999999997</v>
      </c>
      <c r="AN694" s="287">
        <f t="shared" si="366"/>
        <v>17.2799999999998</v>
      </c>
      <c r="AO694" s="287">
        <f t="shared" si="360"/>
        <v>13.6799999999999</v>
      </c>
      <c r="AP694" s="287">
        <f t="shared" si="365"/>
        <v>10.08</v>
      </c>
      <c r="AQ694" s="19">
        <f t="shared" si="343"/>
        <v>5.23980201718379</v>
      </c>
      <c r="AR694" s="19">
        <f t="shared" si="344"/>
        <v>4.10708109416786</v>
      </c>
      <c r="AS694" s="19">
        <f t="shared" si="345"/>
        <v>3.21922756981132</v>
      </c>
      <c r="AT694" s="19">
        <f t="shared" si="346"/>
        <v>2.52330692007752</v>
      </c>
      <c r="AU694" s="19">
        <f t="shared" si="347"/>
        <v>1.97782780957118</v>
      </c>
      <c r="AV694" s="232">
        <f t="shared" si="327"/>
        <v>0.0399999999999991</v>
      </c>
      <c r="AW694" s="232">
        <f t="shared" si="328"/>
        <v>0.0399999999999991</v>
      </c>
      <c r="AX694" s="232">
        <f t="shared" si="329"/>
        <v>0.0399999999999991</v>
      </c>
      <c r="AY694" s="232">
        <f t="shared" si="330"/>
        <v>0.0399999999999991</v>
      </c>
      <c r="AZ694" s="232">
        <f t="shared" si="331"/>
        <v>0.0399999999999991</v>
      </c>
    </row>
    <row r="695" spans="1:52">
      <c r="A695" s="269"/>
      <c r="C695" s="19">
        <v>572</v>
      </c>
      <c r="D695" s="86">
        <f ca="1" t="shared" si="355"/>
        <v>317.455085536692</v>
      </c>
      <c r="E695" s="251">
        <f ca="1" t="shared" si="332"/>
        <v>0.266587363649761</v>
      </c>
      <c r="F695" s="269">
        <f ca="1" t="shared" si="348"/>
        <v>771.31849012593</v>
      </c>
      <c r="G695" s="283">
        <f ca="1" t="shared" si="349"/>
        <v>205.623762816986</v>
      </c>
      <c r="H695" s="279">
        <f ca="1" t="shared" si="350"/>
        <v>0.161236785254886</v>
      </c>
      <c r="I695" s="269">
        <f ca="1">SUM($J$125:J695)/SUM($H$125:H695)</f>
        <v>0.444743070444525</v>
      </c>
      <c r="J695" s="284">
        <f t="shared" si="356"/>
        <v>0.0443976274320192</v>
      </c>
      <c r="K695" s="19">
        <f t="shared" si="358"/>
        <v>58100</v>
      </c>
      <c r="L695" s="269">
        <f t="shared" si="351"/>
        <v>3.90499999999994</v>
      </c>
      <c r="M695" s="226">
        <f ca="1" t="shared" si="352"/>
        <v>2145.792</v>
      </c>
      <c r="N695" s="280">
        <f ca="1" t="shared" si="357"/>
        <v>0.116839157822866</v>
      </c>
      <c r="O695" s="226">
        <f t="shared" si="362"/>
        <v>844.8</v>
      </c>
      <c r="P695" s="19">
        <f ca="1" t="shared" ref="P695:P723" si="367">IF(O695=O694,P694+OFFSET($H$75,MATCH(P694,$G$76:$G$84,1),0),10)</f>
        <v>16.4</v>
      </c>
      <c r="Q695" s="226">
        <f ca="1" t="shared" si="361"/>
        <v>2.54</v>
      </c>
      <c r="R695" s="269">
        <f ca="1" t="shared" si="333"/>
        <v>1.14256076380229</v>
      </c>
      <c r="S695" s="266">
        <f ca="1" t="shared" si="334"/>
        <v>107.337739245431</v>
      </c>
      <c r="T695" s="226">
        <f ca="1">(1+OFFSET('玩法产出(新)'!$C$18,MATCH(X695,'玩法产出(新)'!$B$19:$B$25,0),1)*(1-V695)+OFFSET('玩法产出(新)'!$C$18,1+MATCH(X695,'玩法产出(新)'!$B$19:$B$25,0),1)*(V695))^AA695*(1+OFFSET('玩法产出(新)'!$C$18,MATCH(X695,'玩法产出(新)'!$B$19:$B$25,0),3)*(1-V695)+OFFSET('玩法产出(新)'!$C$18,1+MATCH(X695,'玩法产出(新)'!$B$19:$B$25,0),3)*(V695))^AB695*(1+OFFSET('玩法产出(新)'!$C$18,MATCH(X695,'玩法产出(新)'!$B$19:$B$25,0),4)*(1-V695)+OFFSET('玩法产出(新)'!$C$18,1+MATCH(X695,'玩法产出(新)'!$B$19:$B$25,0),4)*(V695))^AC695*(1+OFFSET('玩法产出(新)'!$C$18,MATCH(X695,'玩法产出(新)'!$B$19:$B$25,0),5)*(1+V695)+OFFSET('玩法产出(新)'!$C$18,1+MATCH(X695,'玩法产出(新)'!$B$19:$B$25,5),1)*(V695))^AD695*(1+OFFSET('玩法产出(新)'!$C$18,MATCH(X695,'玩法产出(新)'!$B$19:$B$25,0),6)*(1+V695)+OFFSET('玩法产出(新)'!$C$18,1+MATCH(X695,'玩法产出(新)'!$B$19:$B$25,0),6)*(V695))^AE695</f>
        <v>1425.56908030313</v>
      </c>
      <c r="U695" s="226">
        <f ca="1" t="shared" si="353"/>
        <v>0.105350578394875</v>
      </c>
      <c r="V695" s="226">
        <f ca="1">COUNTIF($X$124:$X695,X695)/(COUNTIF($X$124:$X$723,X695)+1)</f>
        <v>0.94020618556701</v>
      </c>
      <c r="W695" s="19">
        <v>30</v>
      </c>
      <c r="X695" s="19" t="s">
        <v>326</v>
      </c>
      <c r="Y695" s="19">
        <f t="shared" si="359"/>
        <v>58360</v>
      </c>
      <c r="Z695" s="19">
        <f ca="1" t="shared" si="335"/>
        <v>0</v>
      </c>
      <c r="AA695" s="282">
        <f ca="1" t="shared" si="336"/>
        <v>0</v>
      </c>
      <c r="AB695" s="282">
        <f ca="1" t="shared" si="337"/>
        <v>18</v>
      </c>
      <c r="AC695" s="282">
        <f ca="1" t="shared" si="338"/>
        <v>12</v>
      </c>
      <c r="AD695" s="282">
        <f ca="1" t="shared" si="339"/>
        <v>3.014175</v>
      </c>
      <c r="AE695" s="282">
        <f ca="1" t="shared" si="340"/>
        <v>0.75354375</v>
      </c>
      <c r="AF695" s="19" t="str">
        <f t="shared" si="341"/>
        <v>彩6</v>
      </c>
      <c r="AG695" s="19">
        <f>IFERROR(_xlfn.XLOOKUP(C695+1,[2]基因升级!$E$141:$E$500,[2]基因升级!$D$141:$D$500)-1,AG694)</f>
        <v>121</v>
      </c>
      <c r="AH695" s="19">
        <v>8</v>
      </c>
      <c r="AI695" s="19">
        <f t="shared" si="342"/>
        <v>10.5142500606751</v>
      </c>
      <c r="AJ695" s="19">
        <f t="shared" si="354"/>
        <v>0</v>
      </c>
      <c r="AK695" s="269">
        <v>2.0368</v>
      </c>
      <c r="AL695" s="287">
        <f t="shared" si="363"/>
        <v>24.5199999999996</v>
      </c>
      <c r="AM695" s="287">
        <f t="shared" si="364"/>
        <v>20.9199999999997</v>
      </c>
      <c r="AN695" s="287">
        <f t="shared" si="366"/>
        <v>17.3199999999998</v>
      </c>
      <c r="AO695" s="287">
        <f t="shared" si="360"/>
        <v>13.7199999999999</v>
      </c>
      <c r="AP695" s="287">
        <f t="shared" si="365"/>
        <v>10.12</v>
      </c>
      <c r="AQ695" s="19">
        <f t="shared" si="343"/>
        <v>5.2540019403791</v>
      </c>
      <c r="AR695" s="19">
        <f t="shared" si="344"/>
        <v>4.11821133074985</v>
      </c>
      <c r="AS695" s="19">
        <f t="shared" si="345"/>
        <v>3.22795171322163</v>
      </c>
      <c r="AT695" s="19">
        <f t="shared" si="346"/>
        <v>2.53014511059422</v>
      </c>
      <c r="AU695" s="19">
        <f t="shared" si="347"/>
        <v>1.98318774548047</v>
      </c>
      <c r="AV695" s="232">
        <f t="shared" ref="AV695:AV723" si="368">AL695-AL694</f>
        <v>0.0399999999999991</v>
      </c>
      <c r="AW695" s="232">
        <f t="shared" ref="AW695:AW723" si="369">AM695-AM694</f>
        <v>0.0399999999999991</v>
      </c>
      <c r="AX695" s="232">
        <f t="shared" ref="AX695:AX723" si="370">AN695-AN694</f>
        <v>0.0399999999999991</v>
      </c>
      <c r="AY695" s="232">
        <f t="shared" ref="AY695:AY723" si="371">AO695-AO694</f>
        <v>0.0399999999999991</v>
      </c>
      <c r="AZ695" s="232">
        <f t="shared" ref="AZ695:AZ723" si="372">AP695-AP694</f>
        <v>0.0399999999999991</v>
      </c>
    </row>
    <row r="696" spans="1:52">
      <c r="A696" s="269"/>
      <c r="C696" s="19">
        <v>573</v>
      </c>
      <c r="D696" s="86">
        <f ca="1" t="shared" si="355"/>
        <v>317.720763072403</v>
      </c>
      <c r="E696" s="251">
        <f ca="1" t="shared" si="332"/>
        <v>0.26567753571153</v>
      </c>
      <c r="F696" s="269">
        <f ca="1" t="shared" si="348"/>
        <v>774.563098230938</v>
      </c>
      <c r="G696" s="283">
        <f ca="1" t="shared" si="349"/>
        <v>205.784015191084</v>
      </c>
      <c r="H696" s="279">
        <f ca="1" t="shared" si="350"/>
        <v>0.16025237409778</v>
      </c>
      <c r="I696" s="269">
        <f ca="1">SUM($J$125:J696)/SUM($H$125:H696)</f>
        <v>0.444605462062058</v>
      </c>
      <c r="J696" s="284">
        <f t="shared" si="356"/>
        <v>0.0443296112589877</v>
      </c>
      <c r="K696" s="19">
        <f t="shared" si="358"/>
        <v>58200</v>
      </c>
      <c r="L696" s="269">
        <f t="shared" si="351"/>
        <v>3.90999999999994</v>
      </c>
      <c r="M696" s="226">
        <f ca="1" t="shared" si="352"/>
        <v>2162.688</v>
      </c>
      <c r="N696" s="280">
        <f ca="1" t="shared" si="357"/>
        <v>0.115922762838821</v>
      </c>
      <c r="O696" s="226">
        <f t="shared" si="362"/>
        <v>844.8</v>
      </c>
      <c r="P696" s="19">
        <f ca="1" t="shared" si="367"/>
        <v>16.6</v>
      </c>
      <c r="Q696" s="226">
        <f ca="1" t="shared" si="361"/>
        <v>2.56</v>
      </c>
      <c r="R696" s="269">
        <f ca="1" t="shared" si="333"/>
        <v>1.14368296605868</v>
      </c>
      <c r="S696" s="266">
        <f ca="1" t="shared" si="334"/>
        <v>107.443164407045</v>
      </c>
      <c r="T696" s="226">
        <f ca="1">(1+OFFSET('玩法产出(新)'!$C$18,MATCH(X696,'玩法产出(新)'!$B$19:$B$25,0),1)*(1-V696)+OFFSET('玩法产出(新)'!$C$18,1+MATCH(X696,'玩法产出(新)'!$B$19:$B$25,0),1)*(V696))^AA696*(1+OFFSET('玩法产出(新)'!$C$18,MATCH(X696,'玩法产出(新)'!$B$19:$B$25,0),3)*(1-V696)+OFFSET('玩法产出(新)'!$C$18,1+MATCH(X696,'玩法产出(新)'!$B$19:$B$25,0),3)*(V696))^AB696*(1+OFFSET('玩法产出(新)'!$C$18,MATCH(X696,'玩法产出(新)'!$B$19:$B$25,0),4)*(1-V696)+OFFSET('玩法产出(新)'!$C$18,1+MATCH(X696,'玩法产出(新)'!$B$19:$B$25,0),4)*(V696))^AC696*(1+OFFSET('玩法产出(新)'!$C$18,MATCH(X696,'玩法产出(新)'!$B$19:$B$25,0),5)*(1+V696)+OFFSET('玩法产出(新)'!$C$18,1+MATCH(X696,'玩法产出(新)'!$B$19:$B$25,5),1)*(V696))^AD696*(1+OFFSET('玩法产出(新)'!$C$18,MATCH(X696,'玩法产出(新)'!$B$19:$B$25,0),6)*(1+V696)+OFFSET('玩法产出(新)'!$C$18,1+MATCH(X696,'玩法产出(新)'!$B$19:$B$25,0),6)*(V696))^AE696</f>
        <v>1435.77390800098</v>
      </c>
      <c r="U696" s="226">
        <f ca="1" t="shared" si="353"/>
        <v>0.105425161613722</v>
      </c>
      <c r="V696" s="226">
        <f ca="1">COUNTIF($X$124:$X696,X696)/(COUNTIF($X$124:$X$723,X696)+1)</f>
        <v>0.942268041237113</v>
      </c>
      <c r="W696" s="19">
        <v>30</v>
      </c>
      <c r="X696" s="19" t="s">
        <v>326</v>
      </c>
      <c r="Y696" s="19">
        <f t="shared" si="359"/>
        <v>58460</v>
      </c>
      <c r="Z696" s="19">
        <f ca="1" t="shared" si="335"/>
        <v>0</v>
      </c>
      <c r="AA696" s="282">
        <f ca="1" t="shared" si="336"/>
        <v>0</v>
      </c>
      <c r="AB696" s="282">
        <f ca="1" t="shared" si="337"/>
        <v>18</v>
      </c>
      <c r="AC696" s="282">
        <f ca="1" t="shared" si="338"/>
        <v>12</v>
      </c>
      <c r="AD696" s="282">
        <f ca="1" t="shared" si="339"/>
        <v>3.0193875</v>
      </c>
      <c r="AE696" s="282">
        <f ca="1" t="shared" si="340"/>
        <v>0.754846875</v>
      </c>
      <c r="AF696" s="19" t="str">
        <f t="shared" si="341"/>
        <v>彩6</v>
      </c>
      <c r="AG696" s="19">
        <f>IFERROR(_xlfn.XLOOKUP(C696+1,[2]基因升级!$E$141:$E$500,[2]基因升级!$D$141:$D$500)-1,AG695)</f>
        <v>121</v>
      </c>
      <c r="AH696" s="19">
        <v>8</v>
      </c>
      <c r="AI696" s="19">
        <f t="shared" si="342"/>
        <v>10.5142500606751</v>
      </c>
      <c r="AJ696" s="19">
        <f t="shared" si="354"/>
        <v>0</v>
      </c>
      <c r="AK696" s="269">
        <v>2.0368</v>
      </c>
      <c r="AL696" s="287">
        <f t="shared" si="363"/>
        <v>24.5599999999996</v>
      </c>
      <c r="AM696" s="287">
        <f t="shared" si="364"/>
        <v>20.9599999999997</v>
      </c>
      <c r="AN696" s="287">
        <f t="shared" si="366"/>
        <v>17.3599999999998</v>
      </c>
      <c r="AO696" s="287">
        <f t="shared" si="360"/>
        <v>13.7599999999999</v>
      </c>
      <c r="AP696" s="287">
        <f t="shared" si="365"/>
        <v>10.16</v>
      </c>
      <c r="AQ696" s="19">
        <f t="shared" si="343"/>
        <v>5.26824034552813</v>
      </c>
      <c r="AR696" s="19">
        <f t="shared" si="344"/>
        <v>4.12937173039986</v>
      </c>
      <c r="AS696" s="19">
        <f t="shared" si="345"/>
        <v>3.23669949916002</v>
      </c>
      <c r="AT696" s="19">
        <f t="shared" si="346"/>
        <v>2.53700183268516</v>
      </c>
      <c r="AU696" s="19">
        <f t="shared" si="347"/>
        <v>1.98856220687717</v>
      </c>
      <c r="AV696" s="232">
        <f t="shared" si="368"/>
        <v>0.0399999999999991</v>
      </c>
      <c r="AW696" s="232">
        <f t="shared" si="369"/>
        <v>0.0399999999999991</v>
      </c>
      <c r="AX696" s="232">
        <f t="shared" si="370"/>
        <v>0.0399999999999991</v>
      </c>
      <c r="AY696" s="232">
        <f t="shared" si="371"/>
        <v>0.0399999999999991</v>
      </c>
      <c r="AZ696" s="232">
        <f t="shared" si="372"/>
        <v>0.0399999999999991</v>
      </c>
    </row>
    <row r="697" spans="1:52">
      <c r="A697" s="269"/>
      <c r="C697" s="19">
        <v>574</v>
      </c>
      <c r="D697" s="86">
        <f ca="1" t="shared" si="355"/>
        <v>317.985545204656</v>
      </c>
      <c r="E697" s="251">
        <f ca="1" t="shared" si="332"/>
        <v>0.26478213225235</v>
      </c>
      <c r="F697" s="269">
        <f ca="1" t="shared" si="348"/>
        <v>777.783968569271</v>
      </c>
      <c r="G697" s="283">
        <f ca="1" t="shared" si="349"/>
        <v>205.943297629467</v>
      </c>
      <c r="H697" s="279">
        <f ca="1" t="shared" si="350"/>
        <v>0.159282438382945</v>
      </c>
      <c r="I697" s="269">
        <f ca="1">SUM($J$125:J697)/SUM($H$125:H697)</f>
        <v>0.444469932880487</v>
      </c>
      <c r="J697" s="284">
        <f t="shared" si="356"/>
        <v>0.0442618073534931</v>
      </c>
      <c r="K697" s="19">
        <f t="shared" si="358"/>
        <v>58300</v>
      </c>
      <c r="L697" s="269">
        <f t="shared" si="351"/>
        <v>3.91499999999994</v>
      </c>
      <c r="M697" s="226">
        <f ca="1" t="shared" si="352"/>
        <v>2179.584</v>
      </c>
      <c r="N697" s="280">
        <f ca="1" t="shared" si="357"/>
        <v>0.11502063102941</v>
      </c>
      <c r="O697" s="226">
        <f t="shared" si="362"/>
        <v>844.8</v>
      </c>
      <c r="P697" s="19">
        <f ca="1" t="shared" si="367"/>
        <v>16.8</v>
      </c>
      <c r="Q697" s="226">
        <f ca="1" t="shared" si="361"/>
        <v>2.58</v>
      </c>
      <c r="R697" s="269">
        <f ca="1" t="shared" si="333"/>
        <v>1.14480596167658</v>
      </c>
      <c r="S697" s="266">
        <f ca="1" t="shared" si="334"/>
        <v>107.548664100914</v>
      </c>
      <c r="T697" s="226">
        <f ca="1">(1+OFFSET('玩法产出(新)'!$C$18,MATCH(X697,'玩法产出(新)'!$B$19:$B$25,0),1)*(1-V697)+OFFSET('玩法产出(新)'!$C$18,1+MATCH(X697,'玩法产出(新)'!$B$19:$B$25,0),1)*(V697))^AA697*(1+OFFSET('玩法产出(新)'!$C$18,MATCH(X697,'玩法产出(新)'!$B$19:$B$25,0),3)*(1-V697)+OFFSET('玩法产出(新)'!$C$18,1+MATCH(X697,'玩法产出(新)'!$B$19:$B$25,0),3)*(V697))^AB697*(1+OFFSET('玩法产出(新)'!$C$18,MATCH(X697,'玩法产出(新)'!$B$19:$B$25,0),4)*(1-V697)+OFFSET('玩法产出(新)'!$C$18,1+MATCH(X697,'玩法产出(新)'!$B$19:$B$25,0),4)*(V697))^AC697*(1+OFFSET('玩法产出(新)'!$C$18,MATCH(X697,'玩法产出(新)'!$B$19:$B$25,0),5)*(1+V697)+OFFSET('玩法产出(新)'!$C$18,1+MATCH(X697,'玩法产出(新)'!$B$19:$B$25,5),1)*(V697))^AD697*(1+OFFSET('玩法产出(新)'!$C$18,MATCH(X697,'玩法产出(新)'!$B$19:$B$25,0),6)*(1+V697)+OFFSET('玩法产出(新)'!$C$18,1+MATCH(X697,'玩法产出(新)'!$B$19:$B$25,0),6)*(V697))^AE697</f>
        <v>1446.05907827925</v>
      </c>
      <c r="U697" s="226">
        <f ca="1" t="shared" si="353"/>
        <v>0.105499693869448</v>
      </c>
      <c r="V697" s="226">
        <f ca="1">COUNTIF($X$124:$X697,X697)/(COUNTIF($X$124:$X$723,X697)+1)</f>
        <v>0.944329896907216</v>
      </c>
      <c r="W697" s="19">
        <v>30</v>
      </c>
      <c r="X697" s="19" t="s">
        <v>326</v>
      </c>
      <c r="Y697" s="19">
        <f t="shared" si="359"/>
        <v>58560</v>
      </c>
      <c r="Z697" s="19">
        <f ca="1" t="shared" si="335"/>
        <v>0</v>
      </c>
      <c r="AA697" s="282">
        <f ca="1" t="shared" si="336"/>
        <v>0</v>
      </c>
      <c r="AB697" s="282">
        <f ca="1" t="shared" si="337"/>
        <v>18</v>
      </c>
      <c r="AC697" s="282">
        <f ca="1" t="shared" si="338"/>
        <v>12</v>
      </c>
      <c r="AD697" s="282">
        <f ca="1" t="shared" si="339"/>
        <v>3.0246</v>
      </c>
      <c r="AE697" s="282">
        <f ca="1" t="shared" si="340"/>
        <v>0.75615</v>
      </c>
      <c r="AF697" s="19" t="str">
        <f t="shared" si="341"/>
        <v>彩6</v>
      </c>
      <c r="AG697" s="19">
        <f>IFERROR(_xlfn.XLOOKUP(C697+1,[2]基因升级!$E$141:$E$500,[2]基因升级!$D$141:$D$500)-1,AG696)</f>
        <v>121</v>
      </c>
      <c r="AH697" s="19">
        <v>8</v>
      </c>
      <c r="AI697" s="19">
        <f t="shared" si="342"/>
        <v>10.5142500606751</v>
      </c>
      <c r="AJ697" s="19">
        <f t="shared" si="354"/>
        <v>0</v>
      </c>
      <c r="AK697" s="269">
        <v>2.0368</v>
      </c>
      <c r="AL697" s="287">
        <f t="shared" si="363"/>
        <v>24.5999999999996</v>
      </c>
      <c r="AM697" s="287">
        <f t="shared" si="364"/>
        <v>20.9999999999997</v>
      </c>
      <c r="AN697" s="287">
        <f t="shared" si="366"/>
        <v>17.3999999999998</v>
      </c>
      <c r="AO697" s="287">
        <f t="shared" si="360"/>
        <v>13.7999999999999</v>
      </c>
      <c r="AP697" s="287">
        <f t="shared" si="365"/>
        <v>10.2</v>
      </c>
      <c r="AQ697" s="19">
        <f t="shared" si="343"/>
        <v>5.28251733691742</v>
      </c>
      <c r="AR697" s="19">
        <f t="shared" si="344"/>
        <v>4.14056237486014</v>
      </c>
      <c r="AS697" s="19">
        <f t="shared" si="345"/>
        <v>3.24547099169803</v>
      </c>
      <c r="AT697" s="19">
        <f t="shared" si="346"/>
        <v>2.54387713657114</v>
      </c>
      <c r="AU697" s="19">
        <f t="shared" si="347"/>
        <v>1.99395123312551</v>
      </c>
      <c r="AV697" s="232">
        <f t="shared" si="368"/>
        <v>0.0399999999999991</v>
      </c>
      <c r="AW697" s="232">
        <f t="shared" si="369"/>
        <v>0.0399999999999991</v>
      </c>
      <c r="AX697" s="232">
        <f t="shared" si="370"/>
        <v>0.0399999999999991</v>
      </c>
      <c r="AY697" s="232">
        <f t="shared" si="371"/>
        <v>0.0399999999999991</v>
      </c>
      <c r="AZ697" s="232">
        <f t="shared" si="372"/>
        <v>0.0399999999999991</v>
      </c>
    </row>
    <row r="698" spans="1:52">
      <c r="A698" s="269"/>
      <c r="C698" s="19">
        <v>575</v>
      </c>
      <c r="D698" s="86">
        <f ca="1" t="shared" si="355"/>
        <v>318.249446026553</v>
      </c>
      <c r="E698" s="251">
        <f ca="1" t="shared" si="332"/>
        <v>0.263900821897504</v>
      </c>
      <c r="F698" s="269">
        <f ca="1" t="shared" si="348"/>
        <v>780.98136562904</v>
      </c>
      <c r="G698" s="283">
        <f ca="1" t="shared" si="349"/>
        <v>206.101624276139</v>
      </c>
      <c r="H698" s="279">
        <f ca="1" t="shared" si="350"/>
        <v>0.158326646672435</v>
      </c>
      <c r="I698" s="269">
        <f ca="1">SUM($J$125:J698)/SUM($H$125:H698)</f>
        <v>0.444336444851457</v>
      </c>
      <c r="J698" s="284">
        <f t="shared" si="356"/>
        <v>0.0441942147055698</v>
      </c>
      <c r="K698" s="19">
        <f t="shared" si="358"/>
        <v>58400</v>
      </c>
      <c r="L698" s="269">
        <f t="shared" si="351"/>
        <v>3.91999999999994</v>
      </c>
      <c r="M698" s="226">
        <f ca="1" t="shared" si="352"/>
        <v>2196.48</v>
      </c>
      <c r="N698" s="280">
        <f ca="1" t="shared" si="357"/>
        <v>0.114132431966908</v>
      </c>
      <c r="O698" s="226">
        <f t="shared" si="362"/>
        <v>844.8</v>
      </c>
      <c r="P698" s="19">
        <f ca="1" t="shared" si="367"/>
        <v>17</v>
      </c>
      <c r="Q698" s="226">
        <f ca="1" t="shared" si="361"/>
        <v>2.6</v>
      </c>
      <c r="R698" s="269">
        <f ca="1" t="shared" si="333"/>
        <v>1.14592975011419</v>
      </c>
      <c r="S698" s="266">
        <f ca="1" t="shared" si="334"/>
        <v>107.654238276139</v>
      </c>
      <c r="T698" s="226">
        <f ca="1">(1+OFFSET('玩法产出(新)'!$C$18,MATCH(X698,'玩法产出(新)'!$B$19:$B$25,0),1)*(1-V698)+OFFSET('玩法产出(新)'!$C$18,1+MATCH(X698,'玩法产出(新)'!$B$19:$B$25,0),1)*(V698))^AA698*(1+OFFSET('玩法产出(新)'!$C$18,MATCH(X698,'玩法产出(新)'!$B$19:$B$25,0),3)*(1-V698)+OFFSET('玩法产出(新)'!$C$18,1+MATCH(X698,'玩法产出(新)'!$B$19:$B$25,0),3)*(V698))^AB698*(1+OFFSET('玩法产出(新)'!$C$18,MATCH(X698,'玩法产出(新)'!$B$19:$B$25,0),4)*(1-V698)+OFFSET('玩法产出(新)'!$C$18,1+MATCH(X698,'玩法产出(新)'!$B$19:$B$25,0),4)*(V698))^AC698*(1+OFFSET('玩法产出(新)'!$C$18,MATCH(X698,'玩法产出(新)'!$B$19:$B$25,0),5)*(1+V698)+OFFSET('玩法产出(新)'!$C$18,1+MATCH(X698,'玩法产出(新)'!$B$19:$B$25,5),1)*(V698))^AD698*(1+OFFSET('玩法产出(新)'!$C$18,MATCH(X698,'玩法产出(新)'!$B$19:$B$25,0),6)*(1+V698)+OFFSET('玩法产出(新)'!$C$18,1+MATCH(X698,'玩法产出(新)'!$B$19:$B$25,0),6)*(V698))^AE698</f>
        <v>1456.42526575944</v>
      </c>
      <c r="U698" s="226">
        <f ca="1" t="shared" si="353"/>
        <v>0.105574175225027</v>
      </c>
      <c r="V698" s="226">
        <f ca="1">COUNTIF($X$124:$X698,X698)/(COUNTIF($X$124:$X$723,X698)+1)</f>
        <v>0.94639175257732</v>
      </c>
      <c r="W698" s="19">
        <v>30</v>
      </c>
      <c r="X698" s="19" t="s">
        <v>326</v>
      </c>
      <c r="Y698" s="19">
        <f t="shared" si="359"/>
        <v>58660</v>
      </c>
      <c r="Z698" s="19">
        <f ca="1" t="shared" si="335"/>
        <v>0</v>
      </c>
      <c r="AA698" s="282">
        <f ca="1" t="shared" si="336"/>
        <v>0</v>
      </c>
      <c r="AB698" s="282">
        <f ca="1" t="shared" si="337"/>
        <v>18</v>
      </c>
      <c r="AC698" s="282">
        <f ca="1" t="shared" si="338"/>
        <v>12</v>
      </c>
      <c r="AD698" s="282">
        <f ca="1" t="shared" si="339"/>
        <v>3.0298125</v>
      </c>
      <c r="AE698" s="282">
        <f ca="1" t="shared" si="340"/>
        <v>0.757453125</v>
      </c>
      <c r="AF698" s="19" t="str">
        <f t="shared" si="341"/>
        <v>彩6</v>
      </c>
      <c r="AG698" s="19">
        <f>IFERROR(_xlfn.XLOOKUP(C698+1,[2]基因升级!$E$141:$E$500,[2]基因升级!$D$141:$D$500)-1,AG697)</f>
        <v>121</v>
      </c>
      <c r="AH698" s="19">
        <v>8</v>
      </c>
      <c r="AI698" s="19">
        <f t="shared" si="342"/>
        <v>10.5142500606751</v>
      </c>
      <c r="AJ698" s="19">
        <f t="shared" si="354"/>
        <v>0</v>
      </c>
      <c r="AK698" s="269">
        <v>2.0368</v>
      </c>
      <c r="AL698" s="287">
        <f t="shared" si="363"/>
        <v>24.6399999999996</v>
      </c>
      <c r="AM698" s="287">
        <f t="shared" si="364"/>
        <v>21.0399999999997</v>
      </c>
      <c r="AN698" s="287">
        <f t="shared" si="366"/>
        <v>17.4399999999998</v>
      </c>
      <c r="AO698" s="287">
        <f t="shared" si="360"/>
        <v>13.8399999999999</v>
      </c>
      <c r="AP698" s="287">
        <f t="shared" si="365"/>
        <v>10.24</v>
      </c>
      <c r="AQ698" s="19">
        <f t="shared" si="343"/>
        <v>5.29683301911612</v>
      </c>
      <c r="AR698" s="19">
        <f t="shared" si="344"/>
        <v>4.15178334609447</v>
      </c>
      <c r="AS698" s="19">
        <f t="shared" si="345"/>
        <v>3.2542662550808</v>
      </c>
      <c r="AT698" s="19">
        <f t="shared" si="346"/>
        <v>2.55077107260902</v>
      </c>
      <c r="AU698" s="19">
        <f t="shared" si="347"/>
        <v>1.99935486369642</v>
      </c>
      <c r="AV698" s="232">
        <f t="shared" si="368"/>
        <v>0.0399999999999991</v>
      </c>
      <c r="AW698" s="232">
        <f t="shared" si="369"/>
        <v>0.0399999999999991</v>
      </c>
      <c r="AX698" s="232">
        <f t="shared" si="370"/>
        <v>0.0399999999999991</v>
      </c>
      <c r="AY698" s="232">
        <f t="shared" si="371"/>
        <v>0.0399999999999991</v>
      </c>
      <c r="AZ698" s="232">
        <f t="shared" si="372"/>
        <v>0.0399999999999991</v>
      </c>
    </row>
    <row r="699" spans="1:52">
      <c r="A699" s="269"/>
      <c r="C699" s="19">
        <v>576</v>
      </c>
      <c r="D699" s="86">
        <f ca="1" t="shared" si="355"/>
        <v>318.51247930996</v>
      </c>
      <c r="E699" s="251">
        <f ca="1" t="shared" si="332"/>
        <v>0.263033283407192</v>
      </c>
      <c r="F699" s="269">
        <f ca="1" t="shared" si="348"/>
        <v>784.155549754138</v>
      </c>
      <c r="G699" s="283">
        <f ca="1" t="shared" si="349"/>
        <v>206.259008953803</v>
      </c>
      <c r="H699" s="279">
        <f ca="1" t="shared" si="350"/>
        <v>0.157384677663515</v>
      </c>
      <c r="I699" s="269">
        <f ca="1">SUM($J$125:J699)/SUM($H$125:H699)</f>
        <v>0.444204960870298</v>
      </c>
      <c r="J699" s="284">
        <f t="shared" si="356"/>
        <v>0.0441268323115338</v>
      </c>
      <c r="K699" s="19">
        <f t="shared" si="358"/>
        <v>58500</v>
      </c>
      <c r="L699" s="269">
        <f t="shared" si="351"/>
        <v>3.92499999999994</v>
      </c>
      <c r="M699" s="226">
        <f ca="1" t="shared" si="352"/>
        <v>2213.376</v>
      </c>
      <c r="N699" s="280">
        <f ca="1" t="shared" si="357"/>
        <v>0.113257845351939</v>
      </c>
      <c r="O699" s="226">
        <f t="shared" si="362"/>
        <v>844.8</v>
      </c>
      <c r="P699" s="19">
        <f ca="1" t="shared" si="367"/>
        <v>17.2</v>
      </c>
      <c r="Q699" s="226">
        <f ca="1" t="shared" si="361"/>
        <v>2.62</v>
      </c>
      <c r="R699" s="269">
        <f ca="1" t="shared" si="333"/>
        <v>1.14705433083036</v>
      </c>
      <c r="S699" s="266">
        <f ca="1" t="shared" si="334"/>
        <v>107.759886881883</v>
      </c>
      <c r="T699" s="226">
        <f ca="1">(1+OFFSET('玩法产出(新)'!$C$18,MATCH(X699,'玩法产出(新)'!$B$19:$B$25,0),1)*(1-V699)+OFFSET('玩法产出(新)'!$C$18,1+MATCH(X699,'玩法产出(新)'!$B$19:$B$25,0),1)*(V699))^AA699*(1+OFFSET('玩法产出(新)'!$C$18,MATCH(X699,'玩法产出(新)'!$B$19:$B$25,0),3)*(1-V699)+OFFSET('玩法产出(新)'!$C$18,1+MATCH(X699,'玩法产出(新)'!$B$19:$B$25,0),3)*(V699))^AB699*(1+OFFSET('玩法产出(新)'!$C$18,MATCH(X699,'玩法产出(新)'!$B$19:$B$25,0),4)*(1-V699)+OFFSET('玩法产出(新)'!$C$18,1+MATCH(X699,'玩法产出(新)'!$B$19:$B$25,0),4)*(V699))^AC699*(1+OFFSET('玩法产出(新)'!$C$18,MATCH(X699,'玩法产出(新)'!$B$19:$B$25,0),5)*(1+V699)+OFFSET('玩法产出(新)'!$C$18,1+MATCH(X699,'玩法产出(新)'!$B$19:$B$25,5),1)*(V699))^AD699*(1+OFFSET('玩法产出(新)'!$C$18,MATCH(X699,'玩法产出(新)'!$B$19:$B$25,0),6)*(1+V699)+OFFSET('玩法产出(新)'!$C$18,1+MATCH(X699,'玩法产出(新)'!$B$19:$B$25,0),6)*(V699))^AE699</f>
        <v>1466.87315102588</v>
      </c>
      <c r="U699" s="226">
        <f ca="1" t="shared" si="353"/>
        <v>0.10564860574372</v>
      </c>
      <c r="V699" s="226">
        <f ca="1">COUNTIF($X$124:$X699,X699)/(COUNTIF($X$124:$X$723,X699)+1)</f>
        <v>0.948453608247423</v>
      </c>
      <c r="W699" s="19">
        <v>30</v>
      </c>
      <c r="X699" s="19" t="s">
        <v>326</v>
      </c>
      <c r="Y699" s="19">
        <f t="shared" si="359"/>
        <v>58760</v>
      </c>
      <c r="Z699" s="19">
        <f ca="1" t="shared" si="335"/>
        <v>0</v>
      </c>
      <c r="AA699" s="282">
        <f ca="1" t="shared" si="336"/>
        <v>0</v>
      </c>
      <c r="AB699" s="282">
        <f ca="1" t="shared" si="337"/>
        <v>18</v>
      </c>
      <c r="AC699" s="282">
        <f ca="1" t="shared" si="338"/>
        <v>12</v>
      </c>
      <c r="AD699" s="282">
        <f ca="1" t="shared" si="339"/>
        <v>3.035025</v>
      </c>
      <c r="AE699" s="282">
        <f ca="1" t="shared" si="340"/>
        <v>0.75875625</v>
      </c>
      <c r="AF699" s="19" t="str">
        <f t="shared" si="341"/>
        <v>彩6</v>
      </c>
      <c r="AG699" s="19">
        <f>IFERROR(_xlfn.XLOOKUP(C699+1,[2]基因升级!$E$141:$E$500,[2]基因升级!$D$141:$D$500)-1,AG698)</f>
        <v>121</v>
      </c>
      <c r="AH699" s="19">
        <v>8</v>
      </c>
      <c r="AI699" s="19">
        <f t="shared" si="342"/>
        <v>10.5142500606751</v>
      </c>
      <c r="AJ699" s="19">
        <f t="shared" si="354"/>
        <v>0</v>
      </c>
      <c r="AK699" s="269">
        <v>2.0368</v>
      </c>
      <c r="AL699" s="287">
        <f t="shared" si="363"/>
        <v>24.6799999999996</v>
      </c>
      <c r="AM699" s="287">
        <f t="shared" si="364"/>
        <v>21.0799999999997</v>
      </c>
      <c r="AN699" s="287">
        <f t="shared" si="366"/>
        <v>17.4799999999998</v>
      </c>
      <c r="AO699" s="287">
        <f t="shared" si="360"/>
        <v>13.8799999999999</v>
      </c>
      <c r="AP699" s="287">
        <f t="shared" si="365"/>
        <v>10.28</v>
      </c>
      <c r="AQ699" s="19">
        <f t="shared" si="343"/>
        <v>5.31118749697676</v>
      </c>
      <c r="AR699" s="19">
        <f t="shared" si="344"/>
        <v>4.16303472628875</v>
      </c>
      <c r="AS699" s="19">
        <f t="shared" si="345"/>
        <v>3.2630853537276</v>
      </c>
      <c r="AT699" s="19">
        <f t="shared" si="346"/>
        <v>2.55768369129214</v>
      </c>
      <c r="AU699" s="19">
        <f t="shared" si="347"/>
        <v>2.00477313816778</v>
      </c>
      <c r="AV699" s="232">
        <f t="shared" si="368"/>
        <v>0.0399999999999991</v>
      </c>
      <c r="AW699" s="232">
        <f t="shared" si="369"/>
        <v>0.0399999999999991</v>
      </c>
      <c r="AX699" s="232">
        <f t="shared" si="370"/>
        <v>0.0399999999999991</v>
      </c>
      <c r="AY699" s="232">
        <f t="shared" si="371"/>
        <v>0.0399999999999991</v>
      </c>
      <c r="AZ699" s="232">
        <f t="shared" si="372"/>
        <v>0.0399999999999991</v>
      </c>
    </row>
    <row r="700" spans="1:52">
      <c r="A700" s="269"/>
      <c r="C700" s="19">
        <v>577</v>
      </c>
      <c r="D700" s="86">
        <f ca="1" t="shared" si="355"/>
        <v>318.774658515252</v>
      </c>
      <c r="E700" s="251">
        <f ca="1" t="shared" ref="E700:E723" si="373">J700+N700+U700+AJ700</f>
        <v>0.262179205291275</v>
      </c>
      <c r="F700" s="269">
        <f ca="1" t="shared" si="348"/>
        <v>787.306777226221</v>
      </c>
      <c r="G700" s="283">
        <f ca="1" t="shared" si="349"/>
        <v>206.415465173605</v>
      </c>
      <c r="H700" s="279">
        <f ca="1" t="shared" si="350"/>
        <v>0.156456219802692</v>
      </c>
      <c r="I700" s="269">
        <f ca="1">SUM($J$125:J700)/SUM($H$125:H700)</f>
        <v>0.444075444745901</v>
      </c>
      <c r="J700" s="284">
        <f t="shared" si="356"/>
        <v>0.0440596591743656</v>
      </c>
      <c r="K700" s="19">
        <f t="shared" si="358"/>
        <v>58600</v>
      </c>
      <c r="L700" s="269">
        <f t="shared" si="351"/>
        <v>3.92999999999994</v>
      </c>
      <c r="M700" s="226">
        <f ca="1" t="shared" si="352"/>
        <v>2230.272</v>
      </c>
      <c r="N700" s="280">
        <f ca="1" t="shared" si="357"/>
        <v>0.112396560628341</v>
      </c>
      <c r="O700" s="226">
        <f t="shared" si="362"/>
        <v>844.8</v>
      </c>
      <c r="P700" s="19">
        <f ca="1" t="shared" si="367"/>
        <v>17.4</v>
      </c>
      <c r="Q700" s="226">
        <f ca="1" t="shared" si="361"/>
        <v>2.64</v>
      </c>
      <c r="R700" s="269">
        <f ca="1" t="shared" ref="R700:R723" si="374">S700/$E$115</f>
        <v>1.14817970328464</v>
      </c>
      <c r="S700" s="266">
        <f ca="1" t="shared" ref="S700:S723" si="375">LOG(T700,1.07)</f>
        <v>107.865609867371</v>
      </c>
      <c r="T700" s="226">
        <f ca="1">(1+OFFSET('玩法产出(新)'!$C$18,MATCH(X700,'玩法产出(新)'!$B$19:$B$25,0),1)*(1-V700)+OFFSET('玩法产出(新)'!$C$18,1+MATCH(X700,'玩法产出(新)'!$B$19:$B$25,0),1)*(V700))^AA700*(1+OFFSET('玩法产出(新)'!$C$18,MATCH(X700,'玩法产出(新)'!$B$19:$B$25,0),3)*(1-V700)+OFFSET('玩法产出(新)'!$C$18,1+MATCH(X700,'玩法产出(新)'!$B$19:$B$25,0),3)*(V700))^AB700*(1+OFFSET('玩法产出(新)'!$C$18,MATCH(X700,'玩法产出(新)'!$B$19:$B$25,0),4)*(1-V700)+OFFSET('玩法产出(新)'!$C$18,1+MATCH(X700,'玩法产出(新)'!$B$19:$B$25,0),4)*(V700))^AC700*(1+OFFSET('玩法产出(新)'!$C$18,MATCH(X700,'玩法产出(新)'!$B$19:$B$25,0),5)*(1+V700)+OFFSET('玩法产出(新)'!$C$18,1+MATCH(X700,'玩法产出(新)'!$B$19:$B$25,5),1)*(V700))^AD700*(1+OFFSET('玩法产出(新)'!$C$18,MATCH(X700,'玩法产出(新)'!$B$19:$B$25,0),6)*(1+V700)+OFFSET('玩法产出(新)'!$C$18,1+MATCH(X700,'玩法产出(新)'!$B$19:$B$25,0),6)*(V700))^AE700</f>
        <v>1477.40342068063</v>
      </c>
      <c r="U700" s="226">
        <f ca="1" t="shared" si="353"/>
        <v>0.105722985488569</v>
      </c>
      <c r="V700" s="226">
        <f ca="1">COUNTIF($X$124:$X700,X700)/(COUNTIF($X$124:$X$723,X700)+1)</f>
        <v>0.950515463917526</v>
      </c>
      <c r="W700" s="19">
        <v>30</v>
      </c>
      <c r="X700" s="19" t="s">
        <v>326</v>
      </c>
      <c r="Y700" s="19">
        <f t="shared" si="359"/>
        <v>58860</v>
      </c>
      <c r="Z700" s="19">
        <f ca="1" t="shared" ref="Z700:Z723" si="376">(_xlfn.XLOOKUP(X700,$W$110:$W$115,$X$110:$X$115)+V700*_xlfn.XLOOKUP(X700,$W$110:$W$115,$Y$110:$Y$115))*MIN(AA700/2,6)</f>
        <v>0</v>
      </c>
      <c r="AA700" s="282">
        <f ca="1" t="shared" ref="AA700:AA723" si="377">MAX(W700-SUM(AB700:AE700),0)</f>
        <v>0</v>
      </c>
      <c r="AB700" s="282">
        <f ca="1" t="shared" ref="AB700:AB723" si="378">MIN(1+($Y700*$P$116+120*$C700)/OFFSET($G$101,MATCH(AB$123,$AB$123:$AE$123),0),18)</f>
        <v>18</v>
      </c>
      <c r="AC700" s="282">
        <f ca="1" t="shared" ref="AC700:AC723" si="379">MIN(($Y700*$P$116+120*$C700)/OFFSET($G$101,MATCH(AC$123,$AB$123:$AE$123),0),12)</f>
        <v>12</v>
      </c>
      <c r="AD700" s="282">
        <f ca="1" t="shared" ref="AD700:AD723" si="380">IF(MATCH($X700,$L$112:$L$118,0)&gt;=4,($Y700*$P$116+120*$C700)/OFFSET($G$101,MATCH(AD$123,$AB$123:$AE$123),0),0)</f>
        <v>3.0402375</v>
      </c>
      <c r="AE700" s="282">
        <f ca="1" t="shared" ref="AE700:AE723" si="381">IF(MATCH($X700,$L$112:$L$118,0)&gt;=4,($Y700*$P$116+120*$C700)/OFFSET($G$101,MATCH(AE$123,$AB$123:$AE$123),0),0)</f>
        <v>0.760059375</v>
      </c>
      <c r="AF700" s="19" t="str">
        <f t="shared" ref="AF700:AF723" si="382">_xlfn.XLOOKUP(O700,$D$77:$D$95,$F$77:$F$95)</f>
        <v>彩6</v>
      </c>
      <c r="AG700" s="19">
        <f>IFERROR(_xlfn.XLOOKUP(C700+1,[2]基因升级!$E$141:$E$500,[2]基因升级!$D$141:$D$500)-1,AG699)</f>
        <v>122</v>
      </c>
      <c r="AH700" s="19">
        <v>8</v>
      </c>
      <c r="AI700" s="19">
        <f t="shared" ref="AI700:AI723" si="383">LOG(AK700,1.07)</f>
        <v>10.5142500606751</v>
      </c>
      <c r="AJ700" s="19">
        <f t="shared" si="354"/>
        <v>0</v>
      </c>
      <c r="AK700" s="269">
        <v>2.0368</v>
      </c>
      <c r="AL700" s="287">
        <f t="shared" si="363"/>
        <v>24.7199999999996</v>
      </c>
      <c r="AM700" s="287">
        <f t="shared" si="364"/>
        <v>21.1199999999997</v>
      </c>
      <c r="AN700" s="287">
        <f t="shared" si="366"/>
        <v>17.5199999999998</v>
      </c>
      <c r="AO700" s="287">
        <f t="shared" si="360"/>
        <v>13.9199999999999</v>
      </c>
      <c r="AP700" s="287">
        <f t="shared" si="365"/>
        <v>10.32</v>
      </c>
      <c r="AQ700" s="19">
        <f t="shared" ref="AQ700:AQ723" si="384">1.07^AL700</f>
        <v>5.32558087563604</v>
      </c>
      <c r="AR700" s="19">
        <f t="shared" ref="AR700:AR723" si="385">1.07^AM700</f>
        <v>4.17431659785161</v>
      </c>
      <c r="AS700" s="19">
        <f t="shared" ref="AS700:AS723" si="386">1.07^AN700</f>
        <v>3.27192835223226</v>
      </c>
      <c r="AT700" s="19">
        <f t="shared" ref="AT700:AT723" si="387">1.07^AO700</f>
        <v>2.56461504325069</v>
      </c>
      <c r="AU700" s="19">
        <f t="shared" ref="AU700:AU723" si="388">1.07^AP700</f>
        <v>2.01020609622471</v>
      </c>
      <c r="AV700" s="232">
        <f t="shared" si="368"/>
        <v>0.0399999999999991</v>
      </c>
      <c r="AW700" s="232">
        <f t="shared" si="369"/>
        <v>0.0399999999999991</v>
      </c>
      <c r="AX700" s="232">
        <f t="shared" si="370"/>
        <v>0.0399999999999991</v>
      </c>
      <c r="AY700" s="232">
        <f t="shared" si="371"/>
        <v>0.0399999999999991</v>
      </c>
      <c r="AZ700" s="232">
        <f t="shared" si="372"/>
        <v>0.0399999999999991</v>
      </c>
    </row>
    <row r="701" spans="1:52">
      <c r="A701" s="269"/>
      <c r="C701" s="19">
        <v>578</v>
      </c>
      <c r="D701" s="86">
        <f ca="1" t="shared" si="355"/>
        <v>319.035996800693</v>
      </c>
      <c r="E701" s="251">
        <f ca="1" t="shared" si="373"/>
        <v>0.261338285441056</v>
      </c>
      <c r="F701" s="269">
        <f ca="1" t="shared" ref="F701:F723" si="389">G701/E701</f>
        <v>790.435300346055</v>
      </c>
      <c r="G701" s="283">
        <f ca="1" t="shared" ref="G701:G723" si="390">LOG((K701*O701*L701*Q701)/($K$124*$O$124*$L$124*$Q$124),1.07)+$G$124</f>
        <v>206.571006144524</v>
      </c>
      <c r="H701" s="279">
        <f ca="1" t="shared" ref="H701:H723" si="391">G701-G700</f>
        <v>0.155540970918707</v>
      </c>
      <c r="I701" s="269">
        <f ca="1">SUM($J$125:J701)/SUM($H$125:H701)</f>
        <v>0.443947861171774</v>
      </c>
      <c r="J701" s="284">
        <f t="shared" si="356"/>
        <v>0.043992694303256</v>
      </c>
      <c r="K701" s="19">
        <f t="shared" si="358"/>
        <v>58700</v>
      </c>
      <c r="L701" s="269">
        <f t="shared" ref="L701:L723" si="392">L700+0.5%</f>
        <v>3.93499999999994</v>
      </c>
      <c r="M701" s="226">
        <f ca="1" t="shared" ref="M701:M723" si="393">O701*Q701</f>
        <v>2247.168</v>
      </c>
      <c r="N701" s="280">
        <f ca="1" t="shared" si="357"/>
        <v>0.111548276615437</v>
      </c>
      <c r="O701" s="226">
        <f t="shared" si="362"/>
        <v>844.8</v>
      </c>
      <c r="P701" s="19">
        <f ca="1" t="shared" si="367"/>
        <v>17.6</v>
      </c>
      <c r="Q701" s="226">
        <f ca="1" t="shared" si="361"/>
        <v>2.66</v>
      </c>
      <c r="R701" s="269">
        <f ca="1" t="shared" si="374"/>
        <v>1.14930586693723</v>
      </c>
      <c r="S701" s="266">
        <f ca="1" t="shared" si="375"/>
        <v>107.971407181894</v>
      </c>
      <c r="T701" s="226">
        <f ca="1">(1+OFFSET('玩法产出(新)'!$C$18,MATCH(X701,'玩法产出(新)'!$B$19:$B$25,0),1)*(1-V701)+OFFSET('玩法产出(新)'!$C$18,1+MATCH(X701,'玩法产出(新)'!$B$19:$B$25,0),1)*(V701))^AA701*(1+OFFSET('玩法产出(新)'!$C$18,MATCH(X701,'玩法产出(新)'!$B$19:$B$25,0),3)*(1-V701)+OFFSET('玩法产出(新)'!$C$18,1+MATCH(X701,'玩法产出(新)'!$B$19:$B$25,0),3)*(V701))^AB701*(1+OFFSET('玩法产出(新)'!$C$18,MATCH(X701,'玩法产出(新)'!$B$19:$B$25,0),4)*(1-V701)+OFFSET('玩法产出(新)'!$C$18,1+MATCH(X701,'玩法产出(新)'!$B$19:$B$25,0),4)*(V701))^AC701*(1+OFFSET('玩法产出(新)'!$C$18,MATCH(X701,'玩法产出(新)'!$B$19:$B$25,0),5)*(1+V701)+OFFSET('玩法产出(新)'!$C$18,1+MATCH(X701,'玩法产出(新)'!$B$19:$B$25,5),1)*(V701))^AD701*(1+OFFSET('玩法产出(新)'!$C$18,MATCH(X701,'玩法产出(新)'!$B$19:$B$25,0),6)*(1+V701)+OFFSET('玩法产出(新)'!$C$18,1+MATCH(X701,'玩法产出(新)'!$B$19:$B$25,0),6)*(V701))^AE701</f>
        <v>1488.01676739904</v>
      </c>
      <c r="U701" s="226">
        <f ca="1" t="shared" ref="U701:U723" si="394">LOG(T701/T700,1.07)</f>
        <v>0.105797314522363</v>
      </c>
      <c r="V701" s="226">
        <f ca="1">COUNTIF($X$124:$X701,X701)/(COUNTIF($X$124:$X$723,X701)+1)</f>
        <v>0.952577319587629</v>
      </c>
      <c r="W701" s="19">
        <v>30</v>
      </c>
      <c r="X701" s="19" t="s">
        <v>326</v>
      </c>
      <c r="Y701" s="19">
        <f t="shared" si="359"/>
        <v>58960</v>
      </c>
      <c r="Z701" s="19">
        <f ca="1" t="shared" si="376"/>
        <v>0</v>
      </c>
      <c r="AA701" s="282">
        <f ca="1" t="shared" si="377"/>
        <v>0</v>
      </c>
      <c r="AB701" s="282">
        <f ca="1" t="shared" si="378"/>
        <v>18</v>
      </c>
      <c r="AC701" s="282">
        <f ca="1" t="shared" si="379"/>
        <v>12</v>
      </c>
      <c r="AD701" s="282">
        <f ca="1" t="shared" si="380"/>
        <v>3.04545</v>
      </c>
      <c r="AE701" s="282">
        <f ca="1" t="shared" si="381"/>
        <v>0.7613625</v>
      </c>
      <c r="AF701" s="19" t="str">
        <f t="shared" si="382"/>
        <v>彩6</v>
      </c>
      <c r="AG701" s="19">
        <f>IFERROR(_xlfn.XLOOKUP(C701+1,[2]基因升级!$E$141:$E$500,[2]基因升级!$D$141:$D$500)-1,AG700)</f>
        <v>122</v>
      </c>
      <c r="AH701" s="19">
        <v>8</v>
      </c>
      <c r="AI701" s="19">
        <f t="shared" si="383"/>
        <v>10.5142500606751</v>
      </c>
      <c r="AJ701" s="19">
        <f t="shared" ref="AJ701:AJ723" si="395">AI701-AI700</f>
        <v>0</v>
      </c>
      <c r="AK701" s="269">
        <v>2.0368</v>
      </c>
      <c r="AL701" s="287">
        <f t="shared" si="363"/>
        <v>24.7599999999996</v>
      </c>
      <c r="AM701" s="287">
        <f t="shared" si="364"/>
        <v>21.1599999999997</v>
      </c>
      <c r="AN701" s="287">
        <f t="shared" si="366"/>
        <v>17.5599999999998</v>
      </c>
      <c r="AO701" s="287">
        <f t="shared" si="360"/>
        <v>13.9599999999999</v>
      </c>
      <c r="AP701" s="287">
        <f t="shared" si="365"/>
        <v>10.3599999999999</v>
      </c>
      <c r="AQ701" s="19">
        <f t="shared" si="384"/>
        <v>5.34001326051555</v>
      </c>
      <c r="AR701" s="19">
        <f t="shared" si="385"/>
        <v>4.18562904341501</v>
      </c>
      <c r="AS701" s="19">
        <f t="shared" si="386"/>
        <v>3.28079531536367</v>
      </c>
      <c r="AT701" s="19">
        <f t="shared" si="387"/>
        <v>2.57156517925207</v>
      </c>
      <c r="AU701" s="19">
        <f t="shared" si="388"/>
        <v>2.01565377765991</v>
      </c>
      <c r="AV701" s="232">
        <f t="shared" si="368"/>
        <v>0.0399999999999991</v>
      </c>
      <c r="AW701" s="232">
        <f t="shared" si="369"/>
        <v>0.0399999999999991</v>
      </c>
      <c r="AX701" s="232">
        <f t="shared" si="370"/>
        <v>0.0399999999999991</v>
      </c>
      <c r="AY701" s="232">
        <f t="shared" si="371"/>
        <v>0.0399999999999991</v>
      </c>
      <c r="AZ701" s="232">
        <f t="shared" si="372"/>
        <v>0.0399999999999991</v>
      </c>
    </row>
    <row r="702" spans="1:52">
      <c r="A702" s="269"/>
      <c r="C702" s="19">
        <v>579</v>
      </c>
      <c r="D702" s="86">
        <f ca="1" t="shared" ref="D702:D723" si="396">D701+E702</f>
        <v>319.296507031471</v>
      </c>
      <c r="E702" s="251">
        <f ca="1" t="shared" si="373"/>
        <v>0.260510230778682</v>
      </c>
      <c r="F702" s="269">
        <f ca="1" t="shared" si="389"/>
        <v>793.541367509747</v>
      </c>
      <c r="G702" s="283">
        <f ca="1" t="shared" si="390"/>
        <v>206.725644782395</v>
      </c>
      <c r="H702" s="279">
        <f ca="1" t="shared" si="391"/>
        <v>0.154638637870704</v>
      </c>
      <c r="I702" s="269">
        <f ca="1">SUM($J$125:J702)/SUM($H$125:H702)</f>
        <v>0.443822175698227</v>
      </c>
      <c r="J702" s="284">
        <f t="shared" ref="J702:J723" si="397">LOG(K702*L702/$K$124/$L$124,1.07)-LOG(K701*L701/$K$124/$L$124,1.07)</f>
        <v>0.043925936713876</v>
      </c>
      <c r="K702" s="19">
        <f t="shared" si="358"/>
        <v>58800</v>
      </c>
      <c r="L702" s="269">
        <f t="shared" si="392"/>
        <v>3.93999999999994</v>
      </c>
      <c r="M702" s="226">
        <f ca="1" t="shared" si="393"/>
        <v>2264.064</v>
      </c>
      <c r="N702" s="280">
        <f ca="1" t="shared" ref="N702:N723" si="398">LOG(O702*Q702/($O$124*$Q$124),1.07)-LOG(O701*Q701/($O$124*$Q$124),1.07)</f>
        <v>0.110712701156842</v>
      </c>
      <c r="O702" s="226">
        <f t="shared" si="362"/>
        <v>844.8</v>
      </c>
      <c r="P702" s="19">
        <f ca="1" t="shared" si="367"/>
        <v>17.8</v>
      </c>
      <c r="Q702" s="226">
        <f ca="1" t="shared" si="361"/>
        <v>2.68</v>
      </c>
      <c r="R702" s="269">
        <f ca="1" t="shared" si="374"/>
        <v>1.15043282124899</v>
      </c>
      <c r="S702" s="266">
        <f ca="1" t="shared" si="375"/>
        <v>108.077278774802</v>
      </c>
      <c r="T702" s="226">
        <f ca="1">(1+OFFSET('玩法产出(新)'!$C$18,MATCH(X702,'玩法产出(新)'!$B$19:$B$25,0),1)*(1-V702)+OFFSET('玩法产出(新)'!$C$18,1+MATCH(X702,'玩法产出(新)'!$B$19:$B$25,0),1)*(V702))^AA702*(1+OFFSET('玩法产出(新)'!$C$18,MATCH(X702,'玩法产出(新)'!$B$19:$B$25,0),3)*(1-V702)+OFFSET('玩法产出(新)'!$C$18,1+MATCH(X702,'玩法产出(新)'!$B$19:$B$25,0),3)*(V702))^AB702*(1+OFFSET('玩法产出(新)'!$C$18,MATCH(X702,'玩法产出(新)'!$B$19:$B$25,0),4)*(1-V702)+OFFSET('玩法产出(新)'!$C$18,1+MATCH(X702,'玩法产出(新)'!$B$19:$B$25,0),4)*(V702))^AC702*(1+OFFSET('玩法产出(新)'!$C$18,MATCH(X702,'玩法产出(新)'!$B$19:$B$25,0),5)*(1+V702)+OFFSET('玩法产出(新)'!$C$18,1+MATCH(X702,'玩法产出(新)'!$B$19:$B$25,5),1)*(V702))^AD702*(1+OFFSET('玩法产出(新)'!$C$18,MATCH(X702,'玩法产出(新)'!$B$19:$B$25,0),6)*(1+V702)+OFFSET('玩法产出(新)'!$C$18,1+MATCH(X702,'玩法产出(新)'!$B$19:$B$25,0),6)*(V702))^AE702</f>
        <v>1498.71388998577</v>
      </c>
      <c r="U702" s="226">
        <f ca="1" t="shared" si="394"/>
        <v>0.105871592907963</v>
      </c>
      <c r="V702" s="226">
        <f ca="1">COUNTIF($X$124:$X702,X702)/(COUNTIF($X$124:$X$723,X702)+1)</f>
        <v>0.954639175257732</v>
      </c>
      <c r="W702" s="19">
        <v>30</v>
      </c>
      <c r="X702" s="19" t="s">
        <v>326</v>
      </c>
      <c r="Y702" s="19">
        <f t="shared" si="359"/>
        <v>59060</v>
      </c>
      <c r="Z702" s="19">
        <f ca="1" t="shared" si="376"/>
        <v>0</v>
      </c>
      <c r="AA702" s="282">
        <f ca="1" t="shared" si="377"/>
        <v>0</v>
      </c>
      <c r="AB702" s="282">
        <f ca="1" t="shared" si="378"/>
        <v>18</v>
      </c>
      <c r="AC702" s="282">
        <f ca="1" t="shared" si="379"/>
        <v>12</v>
      </c>
      <c r="AD702" s="282">
        <f ca="1" t="shared" si="380"/>
        <v>3.0506625</v>
      </c>
      <c r="AE702" s="282">
        <f ca="1" t="shared" si="381"/>
        <v>0.762665625</v>
      </c>
      <c r="AF702" s="19" t="str">
        <f t="shared" si="382"/>
        <v>彩6</v>
      </c>
      <c r="AG702" s="19">
        <f>IFERROR(_xlfn.XLOOKUP(C702+1,[2]基因升级!$E$141:$E$500,[2]基因升级!$D$141:$D$500)-1,AG701)</f>
        <v>122</v>
      </c>
      <c r="AH702" s="19">
        <v>8</v>
      </c>
      <c r="AI702" s="19">
        <f t="shared" si="383"/>
        <v>10.5142500606751</v>
      </c>
      <c r="AJ702" s="19">
        <f t="shared" si="395"/>
        <v>0</v>
      </c>
      <c r="AK702" s="269">
        <v>2.0368</v>
      </c>
      <c r="AL702" s="287">
        <f t="shared" si="363"/>
        <v>24.7999999999996</v>
      </c>
      <c r="AM702" s="287">
        <f t="shared" si="364"/>
        <v>21.1999999999997</v>
      </c>
      <c r="AN702" s="287">
        <f t="shared" si="366"/>
        <v>17.5999999999998</v>
      </c>
      <c r="AO702" s="287">
        <f t="shared" si="360"/>
        <v>13.9999999999999</v>
      </c>
      <c r="AP702" s="287">
        <f t="shared" si="365"/>
        <v>10.3999999999999</v>
      </c>
      <c r="AQ702" s="19">
        <f t="shared" si="384"/>
        <v>5.35448475732259</v>
      </c>
      <c r="AR702" s="19">
        <f t="shared" si="385"/>
        <v>4.19697214583484</v>
      </c>
      <c r="AS702" s="19">
        <f t="shared" si="386"/>
        <v>3.28968630806623</v>
      </c>
      <c r="AT702" s="19">
        <f t="shared" si="387"/>
        <v>2.57853415020123</v>
      </c>
      <c r="AU702" s="19">
        <f t="shared" si="388"/>
        <v>2.0211162223739</v>
      </c>
      <c r="AV702" s="232">
        <f t="shared" si="368"/>
        <v>0.0399999999999991</v>
      </c>
      <c r="AW702" s="232">
        <f t="shared" si="369"/>
        <v>0.0399999999999991</v>
      </c>
      <c r="AX702" s="232">
        <f t="shared" si="370"/>
        <v>0.0399999999999991</v>
      </c>
      <c r="AY702" s="232">
        <f t="shared" si="371"/>
        <v>0.0399999999999991</v>
      </c>
      <c r="AZ702" s="232">
        <f t="shared" si="372"/>
        <v>0.0399999999999991</v>
      </c>
    </row>
    <row r="703" spans="1:52">
      <c r="A703" s="269"/>
      <c r="C703" s="19">
        <v>580</v>
      </c>
      <c r="D703" s="86">
        <f ca="1" t="shared" si="396"/>
        <v>319.556201788393</v>
      </c>
      <c r="E703" s="251">
        <f ca="1" t="shared" si="373"/>
        <v>0.259694756921055</v>
      </c>
      <c r="F703" s="269">
        <f ca="1" t="shared" si="389"/>
        <v>796.625223286652</v>
      </c>
      <c r="G703" s="283">
        <f ca="1" t="shared" si="390"/>
        <v>206.879393718608</v>
      </c>
      <c r="H703" s="279">
        <f ca="1" t="shared" si="391"/>
        <v>0.153748936213219</v>
      </c>
      <c r="I703" s="269">
        <f ca="1">SUM($J$125:J703)/SUM($H$125:H703)</f>
        <v>0.443698354705623</v>
      </c>
      <c r="J703" s="284">
        <f t="shared" si="397"/>
        <v>0.0438593854280498</v>
      </c>
      <c r="K703" s="19">
        <f t="shared" si="358"/>
        <v>58900</v>
      </c>
      <c r="L703" s="269">
        <f t="shared" si="392"/>
        <v>3.94499999999994</v>
      </c>
      <c r="M703" s="226">
        <f ca="1" t="shared" si="393"/>
        <v>2280.96</v>
      </c>
      <c r="N703" s="280">
        <f ca="1" t="shared" si="398"/>
        <v>0.109889550785155</v>
      </c>
      <c r="O703" s="226">
        <f t="shared" si="362"/>
        <v>844.8</v>
      </c>
      <c r="P703" s="19">
        <f ca="1" t="shared" si="367"/>
        <v>18</v>
      </c>
      <c r="Q703" s="226">
        <f ca="1" t="shared" si="361"/>
        <v>2.7</v>
      </c>
      <c r="R703" s="269">
        <f ca="1" t="shared" si="374"/>
        <v>1.15156056568148</v>
      </c>
      <c r="S703" s="266">
        <f ca="1" t="shared" si="375"/>
        <v>108.18322459551</v>
      </c>
      <c r="T703" s="226">
        <f ca="1">(1+OFFSET('玩法产出(新)'!$C$18,MATCH(X703,'玩法产出(新)'!$B$19:$B$25,0),1)*(1-V703)+OFFSET('玩法产出(新)'!$C$18,1+MATCH(X703,'玩法产出(新)'!$B$19:$B$25,0),1)*(V703))^AA703*(1+OFFSET('玩法产出(新)'!$C$18,MATCH(X703,'玩法产出(新)'!$B$19:$B$25,0),3)*(1-V703)+OFFSET('玩法产出(新)'!$C$18,1+MATCH(X703,'玩法产出(新)'!$B$19:$B$25,0),3)*(V703))^AB703*(1+OFFSET('玩法产出(新)'!$C$18,MATCH(X703,'玩法产出(新)'!$B$19:$B$25,0),4)*(1-V703)+OFFSET('玩法产出(新)'!$C$18,1+MATCH(X703,'玩法产出(新)'!$B$19:$B$25,0),4)*(V703))^AC703*(1+OFFSET('玩法产出(新)'!$C$18,MATCH(X703,'玩法产出(新)'!$B$19:$B$25,0),5)*(1+V703)+OFFSET('玩法产出(新)'!$C$18,1+MATCH(X703,'玩法产出(新)'!$B$19:$B$25,5),1)*(V703))^AD703*(1+OFFSET('玩法产出(新)'!$C$18,MATCH(X703,'玩法产出(新)'!$B$19:$B$25,0),6)*(1+V703)+OFFSET('玩法产出(新)'!$C$18,1+MATCH(X703,'玩法产出(新)'!$B$19:$B$25,0),6)*(V703))^AE703</f>
        <v>1509.49549343139</v>
      </c>
      <c r="U703" s="226">
        <f ca="1" t="shared" si="394"/>
        <v>0.10594582070785</v>
      </c>
      <c r="V703" s="226">
        <f ca="1">COUNTIF($X$124:$X703,X703)/(COUNTIF($X$124:$X$723,X703)+1)</f>
        <v>0.956701030927835</v>
      </c>
      <c r="W703" s="19">
        <v>30</v>
      </c>
      <c r="X703" s="19" t="s">
        <v>326</v>
      </c>
      <c r="Y703" s="19">
        <f t="shared" si="359"/>
        <v>59160</v>
      </c>
      <c r="Z703" s="19">
        <f ca="1" t="shared" si="376"/>
        <v>0</v>
      </c>
      <c r="AA703" s="282">
        <f ca="1" t="shared" si="377"/>
        <v>0</v>
      </c>
      <c r="AB703" s="282">
        <f ca="1" t="shared" si="378"/>
        <v>18</v>
      </c>
      <c r="AC703" s="282">
        <f ca="1" t="shared" si="379"/>
        <v>12</v>
      </c>
      <c r="AD703" s="282">
        <f ca="1" t="shared" si="380"/>
        <v>3.055875</v>
      </c>
      <c r="AE703" s="282">
        <f ca="1" t="shared" si="381"/>
        <v>0.76396875</v>
      </c>
      <c r="AF703" s="19" t="str">
        <f t="shared" si="382"/>
        <v>彩6</v>
      </c>
      <c r="AG703" s="19">
        <f>IFERROR(_xlfn.XLOOKUP(C703+1,[2]基因升级!$E$141:$E$500,[2]基因升级!$D$141:$D$500)-1,AG702)</f>
        <v>122</v>
      </c>
      <c r="AH703" s="19">
        <v>8</v>
      </c>
      <c r="AI703" s="19">
        <f t="shared" si="383"/>
        <v>10.5142500606751</v>
      </c>
      <c r="AJ703" s="19">
        <f t="shared" si="395"/>
        <v>0</v>
      </c>
      <c r="AK703" s="269">
        <v>2.0368</v>
      </c>
      <c r="AL703" s="287">
        <f t="shared" si="363"/>
        <v>24.8399999999996</v>
      </c>
      <c r="AM703" s="287">
        <f t="shared" si="364"/>
        <v>21.2399999999997</v>
      </c>
      <c r="AN703" s="287">
        <f t="shared" si="366"/>
        <v>17.6399999999998</v>
      </c>
      <c r="AO703" s="287">
        <f t="shared" si="360"/>
        <v>14.0399999999999</v>
      </c>
      <c r="AP703" s="287">
        <f t="shared" si="365"/>
        <v>10.4399999999999</v>
      </c>
      <c r="AQ703" s="19">
        <f t="shared" si="384"/>
        <v>5.36899547205095</v>
      </c>
      <c r="AR703" s="19">
        <f t="shared" si="385"/>
        <v>4.20834598819153</v>
      </c>
      <c r="AS703" s="19">
        <f t="shared" si="386"/>
        <v>3.29860139546038</v>
      </c>
      <c r="AT703" s="19">
        <f t="shared" si="387"/>
        <v>2.5855220071411</v>
      </c>
      <c r="AU703" s="19">
        <f t="shared" si="388"/>
        <v>2.02659347037532</v>
      </c>
      <c r="AV703" s="232">
        <f t="shared" si="368"/>
        <v>0.0399999999999991</v>
      </c>
      <c r="AW703" s="232">
        <f t="shared" si="369"/>
        <v>0.0399999999999991</v>
      </c>
      <c r="AX703" s="232">
        <f t="shared" si="370"/>
        <v>0.0399999999999991</v>
      </c>
      <c r="AY703" s="232">
        <f t="shared" si="371"/>
        <v>0.0399999999999991</v>
      </c>
      <c r="AZ703" s="232">
        <f t="shared" si="372"/>
        <v>0.0399999999999991</v>
      </c>
    </row>
    <row r="704" spans="1:52">
      <c r="A704" s="269"/>
      <c r="C704" s="19">
        <v>581</v>
      </c>
      <c r="D704" s="86">
        <f ca="1" t="shared" si="396"/>
        <v>319.815093376252</v>
      </c>
      <c r="E704" s="251">
        <f ca="1" t="shared" si="373"/>
        <v>0.258891587859896</v>
      </c>
      <c r="F704" s="269">
        <f ca="1" t="shared" si="389"/>
        <v>799.687108491615</v>
      </c>
      <c r="G704" s="283">
        <f ca="1" t="shared" si="390"/>
        <v>207.032265308483</v>
      </c>
      <c r="H704" s="279">
        <f ca="1" t="shared" si="391"/>
        <v>0.152871589875105</v>
      </c>
      <c r="I704" s="269">
        <f ca="1">SUM($J$125:J704)/SUM($H$125:H704)</f>
        <v>0.443576365378661</v>
      </c>
      <c r="J704" s="284">
        <f t="shared" si="397"/>
        <v>0.0437930394740107</v>
      </c>
      <c r="K704" s="19">
        <f t="shared" si="358"/>
        <v>59000</v>
      </c>
      <c r="L704" s="269">
        <f t="shared" si="392"/>
        <v>3.94999999999994</v>
      </c>
      <c r="M704" s="226">
        <f ca="1" t="shared" si="393"/>
        <v>2297.856</v>
      </c>
      <c r="N704" s="280">
        <f ca="1" t="shared" si="398"/>
        <v>0.109078550401122</v>
      </c>
      <c r="O704" s="226">
        <f t="shared" si="362"/>
        <v>844.8</v>
      </c>
      <c r="P704" s="19">
        <f ca="1" t="shared" si="367"/>
        <v>18.2</v>
      </c>
      <c r="Q704" s="226">
        <f ca="1" t="shared" si="361"/>
        <v>2.72</v>
      </c>
      <c r="R704" s="269">
        <f ca="1" t="shared" si="374"/>
        <v>1.15268909969689</v>
      </c>
      <c r="S704" s="266">
        <f ca="1" t="shared" si="375"/>
        <v>108.289244593494</v>
      </c>
      <c r="T704" s="226">
        <f ca="1">(1+OFFSET('玩法产出(新)'!$C$18,MATCH(X704,'玩法产出(新)'!$B$19:$B$25,0),1)*(1-V704)+OFFSET('玩法产出(新)'!$C$18,1+MATCH(X704,'玩法产出(新)'!$B$19:$B$25,0),1)*(V704))^AA704*(1+OFFSET('玩法产出(新)'!$C$18,MATCH(X704,'玩法产出(新)'!$B$19:$B$25,0),3)*(1-V704)+OFFSET('玩法产出(新)'!$C$18,1+MATCH(X704,'玩法产出(新)'!$B$19:$B$25,0),3)*(V704))^AB704*(1+OFFSET('玩法产出(新)'!$C$18,MATCH(X704,'玩法产出(新)'!$B$19:$B$25,0),4)*(1-V704)+OFFSET('玩法产出(新)'!$C$18,1+MATCH(X704,'玩法产出(新)'!$B$19:$B$25,0),4)*(V704))^AC704*(1+OFFSET('玩法产出(新)'!$C$18,MATCH(X704,'玩法产出(新)'!$B$19:$B$25,0),5)*(1+V704)+OFFSET('玩法产出(新)'!$C$18,1+MATCH(X704,'玩法产出(新)'!$B$19:$B$25,5),1)*(V704))^AD704*(1+OFFSET('玩法产出(新)'!$C$18,MATCH(X704,'玩法产出(新)'!$B$19:$B$25,0),6)*(1+V704)+OFFSET('玩法产出(新)'!$C$18,1+MATCH(X704,'玩法产出(新)'!$B$19:$B$25,0),6)*(V704))^AE704</f>
        <v>1520.36228896949</v>
      </c>
      <c r="U704" s="226">
        <f ca="1" t="shared" si="394"/>
        <v>0.106019997984763</v>
      </c>
      <c r="V704" s="226">
        <f ca="1">COUNTIF($X$124:$X704,X704)/(COUNTIF($X$124:$X$723,X704)+1)</f>
        <v>0.958762886597938</v>
      </c>
      <c r="W704" s="19">
        <v>30</v>
      </c>
      <c r="X704" s="19" t="s">
        <v>326</v>
      </c>
      <c r="Y704" s="19">
        <f t="shared" si="359"/>
        <v>59260</v>
      </c>
      <c r="Z704" s="19">
        <f ca="1" t="shared" si="376"/>
        <v>0</v>
      </c>
      <c r="AA704" s="282">
        <f ca="1" t="shared" si="377"/>
        <v>0</v>
      </c>
      <c r="AB704" s="282">
        <f ca="1" t="shared" si="378"/>
        <v>18</v>
      </c>
      <c r="AC704" s="282">
        <f ca="1" t="shared" si="379"/>
        <v>12</v>
      </c>
      <c r="AD704" s="282">
        <f ca="1" t="shared" si="380"/>
        <v>3.0610875</v>
      </c>
      <c r="AE704" s="282">
        <f ca="1" t="shared" si="381"/>
        <v>0.765271875</v>
      </c>
      <c r="AF704" s="19" t="str">
        <f t="shared" si="382"/>
        <v>彩6</v>
      </c>
      <c r="AG704" s="19">
        <f>IFERROR(_xlfn.XLOOKUP(C704+1,[2]基因升级!$E$141:$E$500,[2]基因升级!$D$141:$D$500)-1,AG703)</f>
        <v>122</v>
      </c>
      <c r="AH704" s="19">
        <v>8</v>
      </c>
      <c r="AI704" s="19">
        <f t="shared" si="383"/>
        <v>10.5142500606751</v>
      </c>
      <c r="AJ704" s="19">
        <f t="shared" si="395"/>
        <v>0</v>
      </c>
      <c r="AK704" s="269">
        <v>2.0368</v>
      </c>
      <c r="AL704" s="287">
        <f t="shared" si="363"/>
        <v>24.8799999999996</v>
      </c>
      <c r="AM704" s="287">
        <f t="shared" si="364"/>
        <v>21.2799999999997</v>
      </c>
      <c r="AN704" s="287">
        <f t="shared" si="366"/>
        <v>17.6799999999998</v>
      </c>
      <c r="AO704" s="287">
        <f t="shared" si="360"/>
        <v>14.0799999999999</v>
      </c>
      <c r="AP704" s="287">
        <f t="shared" si="365"/>
        <v>10.4799999999999</v>
      </c>
      <c r="AQ704" s="19">
        <f t="shared" si="384"/>
        <v>5.38354551098163</v>
      </c>
      <c r="AR704" s="19">
        <f t="shared" si="385"/>
        <v>4.21975065379065</v>
      </c>
      <c r="AS704" s="19">
        <f t="shared" si="386"/>
        <v>3.30754064284298</v>
      </c>
      <c r="AT704" s="19">
        <f t="shared" si="387"/>
        <v>2.59252880125293</v>
      </c>
      <c r="AU704" s="19">
        <f t="shared" si="388"/>
        <v>2.03208556178127</v>
      </c>
      <c r="AV704" s="232">
        <f t="shared" si="368"/>
        <v>0.0399999999999991</v>
      </c>
      <c r="AW704" s="232">
        <f t="shared" si="369"/>
        <v>0.0399999999999991</v>
      </c>
      <c r="AX704" s="232">
        <f t="shared" si="370"/>
        <v>0.0399999999999991</v>
      </c>
      <c r="AY704" s="232">
        <f t="shared" si="371"/>
        <v>0.0399999999999991</v>
      </c>
      <c r="AZ704" s="232">
        <f t="shared" si="372"/>
        <v>0.0399999999999991</v>
      </c>
    </row>
    <row r="705" spans="1:52">
      <c r="A705" s="269"/>
      <c r="C705" s="19">
        <v>582</v>
      </c>
      <c r="D705" s="86">
        <f ca="1" t="shared" si="396"/>
        <v>320.073193831907</v>
      </c>
      <c r="E705" s="251">
        <f ca="1" t="shared" si="373"/>
        <v>0.258100455654261</v>
      </c>
      <c r="F705" s="269">
        <f ca="1" t="shared" si="389"/>
        <v>802.727260260517</v>
      </c>
      <c r="G705" s="283">
        <f ca="1" t="shared" si="390"/>
        <v>207.184271639336</v>
      </c>
      <c r="H705" s="279">
        <f ca="1" t="shared" si="391"/>
        <v>0.152006330853226</v>
      </c>
      <c r="I705" s="269">
        <f ca="1">SUM($J$125:J705)/SUM($H$125:H705)</f>
        <v>0.443456175681626</v>
      </c>
      <c r="J705" s="284">
        <f t="shared" si="397"/>
        <v>0.0437268978860033</v>
      </c>
      <c r="K705" s="19">
        <f t="shared" si="358"/>
        <v>59100</v>
      </c>
      <c r="L705" s="269">
        <f t="shared" si="392"/>
        <v>3.95499999999994</v>
      </c>
      <c r="M705" s="226">
        <f ca="1" t="shared" si="393"/>
        <v>2314.752</v>
      </c>
      <c r="N705" s="280">
        <f ca="1" t="shared" si="398"/>
        <v>0.108279432967223</v>
      </c>
      <c r="O705" s="226">
        <f t="shared" si="362"/>
        <v>844.8</v>
      </c>
      <c r="P705" s="19">
        <f ca="1" t="shared" si="367"/>
        <v>18.4</v>
      </c>
      <c r="Q705" s="226">
        <f ca="1" t="shared" si="361"/>
        <v>2.74</v>
      </c>
      <c r="R705" s="269">
        <f ca="1" t="shared" si="374"/>
        <v>1.1538184227581</v>
      </c>
      <c r="S705" s="266">
        <f ca="1" t="shared" si="375"/>
        <v>108.395338718295</v>
      </c>
      <c r="T705" s="226">
        <f ca="1">(1+OFFSET('玩法产出(新)'!$C$18,MATCH(X705,'玩法产出(新)'!$B$19:$B$25,0),1)*(1-V705)+OFFSET('玩法产出(新)'!$C$18,1+MATCH(X705,'玩法产出(新)'!$B$19:$B$25,0),1)*(V705))^AA705*(1+OFFSET('玩法产出(新)'!$C$18,MATCH(X705,'玩法产出(新)'!$B$19:$B$25,0),3)*(1-V705)+OFFSET('玩法产出(新)'!$C$18,1+MATCH(X705,'玩法产出(新)'!$B$19:$B$25,0),3)*(V705))^AB705*(1+OFFSET('玩法产出(新)'!$C$18,MATCH(X705,'玩法产出(新)'!$B$19:$B$25,0),4)*(1-V705)+OFFSET('玩法产出(新)'!$C$18,1+MATCH(X705,'玩法产出(新)'!$B$19:$B$25,0),4)*(V705))^AC705*(1+OFFSET('玩法产出(新)'!$C$18,MATCH(X705,'玩法产出(新)'!$B$19:$B$25,0),5)*(1+V705)+OFFSET('玩法产出(新)'!$C$18,1+MATCH(X705,'玩法产出(新)'!$B$19:$B$25,5),1)*(V705))^AD705*(1+OFFSET('玩法产出(新)'!$C$18,MATCH(X705,'玩法产出(新)'!$B$19:$B$25,0),6)*(1+V705)+OFFSET('玩法产出(新)'!$C$18,1+MATCH(X705,'玩法产出(新)'!$B$19:$B$25,0),6)*(V705))^AE705</f>
        <v>1531.31499413437</v>
      </c>
      <c r="U705" s="226">
        <f ca="1" t="shared" si="394"/>
        <v>0.106094124801036</v>
      </c>
      <c r="V705" s="226">
        <f ca="1">COUNTIF($X$124:$X705,X705)/(COUNTIF($X$124:$X$723,X705)+1)</f>
        <v>0.960824742268041</v>
      </c>
      <c r="W705" s="19">
        <v>30</v>
      </c>
      <c r="X705" s="19" t="s">
        <v>326</v>
      </c>
      <c r="Y705" s="19">
        <f t="shared" si="359"/>
        <v>59360</v>
      </c>
      <c r="Z705" s="19">
        <f ca="1" t="shared" si="376"/>
        <v>0</v>
      </c>
      <c r="AA705" s="282">
        <f ca="1" t="shared" si="377"/>
        <v>0</v>
      </c>
      <c r="AB705" s="282">
        <f ca="1" t="shared" si="378"/>
        <v>18</v>
      </c>
      <c r="AC705" s="282">
        <f ca="1" t="shared" si="379"/>
        <v>12</v>
      </c>
      <c r="AD705" s="282">
        <f ca="1" t="shared" si="380"/>
        <v>3.0663</v>
      </c>
      <c r="AE705" s="282">
        <f ca="1" t="shared" si="381"/>
        <v>0.766575</v>
      </c>
      <c r="AF705" s="19" t="str">
        <f t="shared" si="382"/>
        <v>彩6</v>
      </c>
      <c r="AG705" s="19">
        <f>IFERROR(_xlfn.XLOOKUP(C705+1,[2]基因升级!$E$141:$E$500,[2]基因升级!$D$141:$D$500)-1,AG704)</f>
        <v>122</v>
      </c>
      <c r="AH705" s="19">
        <v>8</v>
      </c>
      <c r="AI705" s="19">
        <f t="shared" si="383"/>
        <v>10.5142500606751</v>
      </c>
      <c r="AJ705" s="19">
        <f t="shared" si="395"/>
        <v>0</v>
      </c>
      <c r="AK705" s="269">
        <v>2.0368</v>
      </c>
      <c r="AL705" s="287">
        <f t="shared" si="363"/>
        <v>24.9199999999996</v>
      </c>
      <c r="AM705" s="287">
        <f t="shared" si="364"/>
        <v>21.3199999999997</v>
      </c>
      <c r="AN705" s="287">
        <f t="shared" si="366"/>
        <v>17.7199999999998</v>
      </c>
      <c r="AO705" s="287">
        <f t="shared" si="360"/>
        <v>14.1199999999999</v>
      </c>
      <c r="AP705" s="287">
        <f t="shared" si="365"/>
        <v>10.5199999999999</v>
      </c>
      <c r="AQ705" s="19">
        <f t="shared" si="384"/>
        <v>5.39813498068367</v>
      </c>
      <c r="AR705" s="19">
        <f t="shared" si="385"/>
        <v>4.23118622616355</v>
      </c>
      <c r="AS705" s="19">
        <f t="shared" si="386"/>
        <v>3.31650411568789</v>
      </c>
      <c r="AT705" s="19">
        <f t="shared" si="387"/>
        <v>2.59955458385668</v>
      </c>
      <c r="AU705" s="19">
        <f t="shared" si="388"/>
        <v>2.03759253681753</v>
      </c>
      <c r="AV705" s="232">
        <f t="shared" si="368"/>
        <v>0.0399999999999991</v>
      </c>
      <c r="AW705" s="232">
        <f t="shared" si="369"/>
        <v>0.0399999999999991</v>
      </c>
      <c r="AX705" s="232">
        <f t="shared" si="370"/>
        <v>0.0399999999999991</v>
      </c>
      <c r="AY705" s="232">
        <f t="shared" si="371"/>
        <v>0.0399999999999991</v>
      </c>
      <c r="AZ705" s="232">
        <f t="shared" si="372"/>
        <v>0.0399999999999991</v>
      </c>
    </row>
    <row r="706" spans="1:52">
      <c r="A706" s="269"/>
      <c r="C706" s="19">
        <v>583</v>
      </c>
      <c r="D706" s="86">
        <f ca="1" t="shared" si="396"/>
        <v>320.330514932045</v>
      </c>
      <c r="E706" s="251">
        <f ca="1" t="shared" si="373"/>
        <v>0.257321100138086</v>
      </c>
      <c r="F706" s="269">
        <f ca="1" t="shared" si="389"/>
        <v>805.745912119111</v>
      </c>
      <c r="G706" s="283">
        <f ca="1" t="shared" si="390"/>
        <v>207.335424538255</v>
      </c>
      <c r="H706" s="279">
        <f ca="1" t="shared" si="391"/>
        <v>0.151152898919008</v>
      </c>
      <c r="I706" s="269">
        <f ca="1">SUM($J$125:J706)/SUM($H$125:H706)</f>
        <v>0.443337754334582</v>
      </c>
      <c r="J706" s="284">
        <f t="shared" si="397"/>
        <v>0.043660959704539</v>
      </c>
      <c r="K706" s="19">
        <f t="shared" ref="K706:K723" si="399">K705+100</f>
        <v>59200</v>
      </c>
      <c r="L706" s="269">
        <f t="shared" si="392"/>
        <v>3.95999999999994</v>
      </c>
      <c r="M706" s="226">
        <f ca="1" t="shared" si="393"/>
        <v>2331.648</v>
      </c>
      <c r="N706" s="280">
        <f ca="1" t="shared" si="398"/>
        <v>0.107491939214455</v>
      </c>
      <c r="O706" s="226">
        <f t="shared" si="362"/>
        <v>844.8</v>
      </c>
      <c r="P706" s="19">
        <f ca="1" t="shared" si="367"/>
        <v>18.6</v>
      </c>
      <c r="Q706" s="226">
        <f ca="1" t="shared" si="361"/>
        <v>2.76</v>
      </c>
      <c r="R706" s="269">
        <f ca="1" t="shared" si="374"/>
        <v>1.15494853432863</v>
      </c>
      <c r="S706" s="266">
        <f ca="1" t="shared" si="375"/>
        <v>108.501506919514</v>
      </c>
      <c r="T706" s="226">
        <f ca="1">(1+OFFSET('玩法产出(新)'!$C$18,MATCH(X706,'玩法产出(新)'!$B$19:$B$25,0),1)*(1-V706)+OFFSET('玩法产出(新)'!$C$18,1+MATCH(X706,'玩法产出(新)'!$B$19:$B$25,0),1)*(V706))^AA706*(1+OFFSET('玩法产出(新)'!$C$18,MATCH(X706,'玩法产出(新)'!$B$19:$B$25,0),3)*(1-V706)+OFFSET('玩法产出(新)'!$C$18,1+MATCH(X706,'玩法产出(新)'!$B$19:$B$25,0),3)*(V706))^AB706*(1+OFFSET('玩法产出(新)'!$C$18,MATCH(X706,'玩法产出(新)'!$B$19:$B$25,0),4)*(1-V706)+OFFSET('玩法产出(新)'!$C$18,1+MATCH(X706,'玩法产出(新)'!$B$19:$B$25,0),4)*(V706))^AC706*(1+OFFSET('玩法产出(新)'!$C$18,MATCH(X706,'玩法产出(新)'!$B$19:$B$25,0),5)*(1+V706)+OFFSET('玩法产出(新)'!$C$18,1+MATCH(X706,'玩法产出(新)'!$B$19:$B$25,5),1)*(V706))^AD706*(1+OFFSET('玩法产出(新)'!$C$18,MATCH(X706,'玩法产出(新)'!$B$19:$B$25,0),6)*(1+V706)+OFFSET('玩法产出(新)'!$C$18,1+MATCH(X706,'玩法产出(新)'!$B$19:$B$25,0),6)*(V706))^AE706</f>
        <v>1542.35433281925</v>
      </c>
      <c r="U706" s="226">
        <f ca="1" t="shared" si="394"/>
        <v>0.106168201219092</v>
      </c>
      <c r="V706" s="226">
        <f ca="1">COUNTIF($X$124:$X706,X706)/(COUNTIF($X$124:$X$723,X706)+1)</f>
        <v>0.962886597938144</v>
      </c>
      <c r="W706" s="19">
        <v>30</v>
      </c>
      <c r="X706" s="19" t="s">
        <v>326</v>
      </c>
      <c r="Y706" s="19">
        <f t="shared" si="359"/>
        <v>59460</v>
      </c>
      <c r="Z706" s="19">
        <f ca="1" t="shared" si="376"/>
        <v>0</v>
      </c>
      <c r="AA706" s="282">
        <f ca="1" t="shared" si="377"/>
        <v>0</v>
      </c>
      <c r="AB706" s="282">
        <f ca="1" t="shared" si="378"/>
        <v>18</v>
      </c>
      <c r="AC706" s="282">
        <f ca="1" t="shared" si="379"/>
        <v>12</v>
      </c>
      <c r="AD706" s="282">
        <f ca="1" t="shared" si="380"/>
        <v>3.0715125</v>
      </c>
      <c r="AE706" s="282">
        <f ca="1" t="shared" si="381"/>
        <v>0.767878125</v>
      </c>
      <c r="AF706" s="19" t="str">
        <f t="shared" si="382"/>
        <v>彩6</v>
      </c>
      <c r="AG706" s="19">
        <f>IFERROR(_xlfn.XLOOKUP(C706+1,[2]基因升级!$E$141:$E$500,[2]基因升级!$D$141:$D$500)-1,AG705)</f>
        <v>122</v>
      </c>
      <c r="AH706" s="19">
        <v>8</v>
      </c>
      <c r="AI706" s="19">
        <f t="shared" si="383"/>
        <v>10.5142500606751</v>
      </c>
      <c r="AJ706" s="19">
        <f t="shared" si="395"/>
        <v>0</v>
      </c>
      <c r="AK706" s="269">
        <v>2.0368</v>
      </c>
      <c r="AL706" s="287">
        <f t="shared" si="363"/>
        <v>24.9599999999996</v>
      </c>
      <c r="AM706" s="287">
        <f t="shared" si="364"/>
        <v>21.3599999999997</v>
      </c>
      <c r="AN706" s="287">
        <f t="shared" si="366"/>
        <v>17.7599999999998</v>
      </c>
      <c r="AO706" s="287">
        <f t="shared" si="360"/>
        <v>14.1599999999999</v>
      </c>
      <c r="AP706" s="287">
        <f t="shared" si="365"/>
        <v>10.5599999999999</v>
      </c>
      <c r="AQ706" s="19">
        <f t="shared" si="384"/>
        <v>5.4127639880149</v>
      </c>
      <c r="AR706" s="19">
        <f t="shared" si="385"/>
        <v>4.24265278906794</v>
      </c>
      <c r="AS706" s="19">
        <f t="shared" si="386"/>
        <v>3.32549187964638</v>
      </c>
      <c r="AT706" s="19">
        <f t="shared" si="387"/>
        <v>2.60659940641137</v>
      </c>
      <c r="AU706" s="19">
        <f t="shared" si="388"/>
        <v>2.04311443581892</v>
      </c>
      <c r="AV706" s="232">
        <f t="shared" si="368"/>
        <v>0.0399999999999991</v>
      </c>
      <c r="AW706" s="232">
        <f t="shared" si="369"/>
        <v>0.0399999999999991</v>
      </c>
      <c r="AX706" s="232">
        <f t="shared" si="370"/>
        <v>0.0399999999999991</v>
      </c>
      <c r="AY706" s="232">
        <f t="shared" si="371"/>
        <v>0.0399999999999991</v>
      </c>
      <c r="AZ706" s="232">
        <f t="shared" si="372"/>
        <v>0.0399999999999991</v>
      </c>
    </row>
    <row r="707" spans="1:52">
      <c r="A707" s="269"/>
      <c r="C707" s="19">
        <v>584</v>
      </c>
      <c r="D707" s="86">
        <f ca="1" t="shared" si="396"/>
        <v>320.587068200684</v>
      </c>
      <c r="E707" s="251">
        <f ca="1" t="shared" si="373"/>
        <v>0.256553268639245</v>
      </c>
      <c r="F707" s="269">
        <f ca="1" t="shared" si="389"/>
        <v>808.743294053881</v>
      </c>
      <c r="G707" s="283">
        <f ca="1" t="shared" si="390"/>
        <v>207.485735579593</v>
      </c>
      <c r="H707" s="279">
        <f ca="1" t="shared" si="391"/>
        <v>0.150311041338114</v>
      </c>
      <c r="I707" s="269">
        <f ca="1">SUM($J$125:J707)/SUM($H$125:H707)</f>
        <v>0.443221070790453</v>
      </c>
      <c r="J707" s="284">
        <f t="shared" si="397"/>
        <v>0.0435952239761974</v>
      </c>
      <c r="K707" s="19">
        <f t="shared" si="399"/>
        <v>59300</v>
      </c>
      <c r="L707" s="269">
        <f t="shared" si="392"/>
        <v>3.96499999999994</v>
      </c>
      <c r="M707" s="226">
        <f ca="1" t="shared" si="393"/>
        <v>2348.544</v>
      </c>
      <c r="N707" s="280">
        <f ca="1" t="shared" si="398"/>
        <v>0.10671581736193</v>
      </c>
      <c r="O707" s="226">
        <f t="shared" si="362"/>
        <v>844.8</v>
      </c>
      <c r="P707" s="19">
        <f ca="1" t="shared" si="367"/>
        <v>18.8</v>
      </c>
      <c r="Q707" s="226">
        <f ca="1" t="shared" si="361"/>
        <v>2.78</v>
      </c>
      <c r="R707" s="269">
        <f ca="1" t="shared" si="374"/>
        <v>1.15607943387269</v>
      </c>
      <c r="S707" s="266">
        <f ca="1" t="shared" si="375"/>
        <v>108.607749146816</v>
      </c>
      <c r="T707" s="226">
        <f ca="1">(1+OFFSET('玩法产出(新)'!$C$18,MATCH(X707,'玩法产出(新)'!$B$19:$B$25,0),1)*(1-V707)+OFFSET('玩法产出(新)'!$C$18,1+MATCH(X707,'玩法产出(新)'!$B$19:$B$25,0),1)*(V707))^AA707*(1+OFFSET('玩法产出(新)'!$C$18,MATCH(X707,'玩法产出(新)'!$B$19:$B$25,0),3)*(1-V707)+OFFSET('玩法产出(新)'!$C$18,1+MATCH(X707,'玩法产出(新)'!$B$19:$B$25,0),3)*(V707))^AB707*(1+OFFSET('玩法产出(新)'!$C$18,MATCH(X707,'玩法产出(新)'!$B$19:$B$25,0),4)*(1-V707)+OFFSET('玩法产出(新)'!$C$18,1+MATCH(X707,'玩法产出(新)'!$B$19:$B$25,0),4)*(V707))^AC707*(1+OFFSET('玩法产出(新)'!$C$18,MATCH(X707,'玩法产出(新)'!$B$19:$B$25,0),5)*(1+V707)+OFFSET('玩法产出(新)'!$C$18,1+MATCH(X707,'玩法产出(新)'!$B$19:$B$25,5),1)*(V707))^AD707*(1+OFFSET('玩法产出(新)'!$C$18,MATCH(X707,'玩法产出(新)'!$B$19:$B$25,0),6)*(1+V707)+OFFSET('玩法产出(新)'!$C$18,1+MATCH(X707,'玩法产出(新)'!$B$19:$B$25,0),6)*(V707))^AE707</f>
        <v>1553.48103533506</v>
      </c>
      <c r="U707" s="226">
        <f ca="1" t="shared" si="394"/>
        <v>0.106242227301117</v>
      </c>
      <c r="V707" s="226">
        <f ca="1">COUNTIF($X$124:$X707,X707)/(COUNTIF($X$124:$X$723,X707)+1)</f>
        <v>0.964948453608247</v>
      </c>
      <c r="W707" s="19">
        <v>30</v>
      </c>
      <c r="X707" s="19" t="s">
        <v>326</v>
      </c>
      <c r="Y707" s="19">
        <f t="shared" ref="Y707:Y723" si="400">Y706+100</f>
        <v>59560</v>
      </c>
      <c r="Z707" s="19">
        <f ca="1" t="shared" si="376"/>
        <v>0</v>
      </c>
      <c r="AA707" s="282">
        <f ca="1" t="shared" si="377"/>
        <v>0</v>
      </c>
      <c r="AB707" s="282">
        <f ca="1" t="shared" si="378"/>
        <v>18</v>
      </c>
      <c r="AC707" s="282">
        <f ca="1" t="shared" si="379"/>
        <v>12</v>
      </c>
      <c r="AD707" s="282">
        <f ca="1" t="shared" si="380"/>
        <v>3.076725</v>
      </c>
      <c r="AE707" s="282">
        <f ca="1" t="shared" si="381"/>
        <v>0.76918125</v>
      </c>
      <c r="AF707" s="19" t="str">
        <f t="shared" si="382"/>
        <v>彩6</v>
      </c>
      <c r="AG707" s="19">
        <f>IFERROR(_xlfn.XLOOKUP(C707+1,[2]基因升级!$E$141:$E$500,[2]基因升级!$D$141:$D$500)-1,AG706)</f>
        <v>122</v>
      </c>
      <c r="AH707" s="19">
        <v>8</v>
      </c>
      <c r="AI707" s="19">
        <f t="shared" si="383"/>
        <v>10.5142500606751</v>
      </c>
      <c r="AJ707" s="19">
        <f t="shared" si="395"/>
        <v>0</v>
      </c>
      <c r="AK707" s="269">
        <v>2.0368</v>
      </c>
      <c r="AL707" s="287">
        <f t="shared" si="363"/>
        <v>24.9999999999996</v>
      </c>
      <c r="AM707" s="287">
        <f t="shared" si="364"/>
        <v>21.3999999999997</v>
      </c>
      <c r="AN707" s="287">
        <f t="shared" si="366"/>
        <v>17.7999999999998</v>
      </c>
      <c r="AO707" s="287">
        <f t="shared" si="360"/>
        <v>14.1999999999999</v>
      </c>
      <c r="AP707" s="287">
        <f t="shared" si="365"/>
        <v>10.5999999999999</v>
      </c>
      <c r="AQ707" s="19">
        <f t="shared" si="384"/>
        <v>5.42743264012276</v>
      </c>
      <c r="AR707" s="19">
        <f t="shared" si="385"/>
        <v>4.2541504264885</v>
      </c>
      <c r="AS707" s="19">
        <f t="shared" si="386"/>
        <v>3.33450400054766</v>
      </c>
      <c r="AT707" s="19">
        <f t="shared" si="387"/>
        <v>2.61366332051549</v>
      </c>
      <c r="AU707" s="19">
        <f t="shared" si="388"/>
        <v>2.04865129922954</v>
      </c>
      <c r="AV707" s="232">
        <f t="shared" si="368"/>
        <v>0.0399999999999991</v>
      </c>
      <c r="AW707" s="232">
        <f t="shared" si="369"/>
        <v>0.0399999999999991</v>
      </c>
      <c r="AX707" s="232">
        <f t="shared" si="370"/>
        <v>0.0399999999999991</v>
      </c>
      <c r="AY707" s="232">
        <f t="shared" si="371"/>
        <v>0.0399999999999991</v>
      </c>
      <c r="AZ707" s="232">
        <f t="shared" si="372"/>
        <v>0.0399999999999991</v>
      </c>
    </row>
    <row r="708" spans="1:52">
      <c r="A708" s="269"/>
      <c r="C708" s="19">
        <v>585</v>
      </c>
      <c r="D708" s="86">
        <f ca="1" t="shared" si="396"/>
        <v>320.842864916395</v>
      </c>
      <c r="E708" s="251">
        <f ca="1" t="shared" si="373"/>
        <v>0.255796715710991</v>
      </c>
      <c r="F708" s="269">
        <f ca="1" t="shared" si="389"/>
        <v>811.719632580387</v>
      </c>
      <c r="G708" s="283">
        <f ca="1" t="shared" si="390"/>
        <v>207.635216092195</v>
      </c>
      <c r="H708" s="279">
        <f ca="1" t="shared" si="391"/>
        <v>0.149480512601968</v>
      </c>
      <c r="I708" s="269">
        <f ca="1">SUM($J$125:J708)/SUM($H$125:H708)</f>
        <v>0.443106095212955</v>
      </c>
      <c r="J708" s="284">
        <f t="shared" si="397"/>
        <v>0.0435296897535267</v>
      </c>
      <c r="K708" s="19">
        <f t="shared" si="399"/>
        <v>59400</v>
      </c>
      <c r="L708" s="269">
        <f t="shared" si="392"/>
        <v>3.96999999999994</v>
      </c>
      <c r="M708" s="226">
        <f ca="1" t="shared" si="393"/>
        <v>2365.44</v>
      </c>
      <c r="N708" s="280">
        <f ca="1" t="shared" si="398"/>
        <v>0.105950822848413</v>
      </c>
      <c r="O708" s="226">
        <f t="shared" si="362"/>
        <v>844.8</v>
      </c>
      <c r="P708" s="19">
        <f ca="1" t="shared" si="367"/>
        <v>19</v>
      </c>
      <c r="Q708" s="226">
        <f ca="1" t="shared" si="361"/>
        <v>2.8</v>
      </c>
      <c r="R708" s="269">
        <f ca="1" t="shared" si="374"/>
        <v>1.15721112085514</v>
      </c>
      <c r="S708" s="266">
        <f ca="1" t="shared" si="375"/>
        <v>108.714065349925</v>
      </c>
      <c r="T708" s="226">
        <f ca="1">(1+OFFSET('玩法产出(新)'!$C$18,MATCH(X708,'玩法产出(新)'!$B$19:$B$25,0),1)*(1-V708)+OFFSET('玩法产出(新)'!$C$18,1+MATCH(X708,'玩法产出(新)'!$B$19:$B$25,0),1)*(V708))^AA708*(1+OFFSET('玩法产出(新)'!$C$18,MATCH(X708,'玩法产出(新)'!$B$19:$B$25,0),3)*(1-V708)+OFFSET('玩法产出(新)'!$C$18,1+MATCH(X708,'玩法产出(新)'!$B$19:$B$25,0),3)*(V708))^AB708*(1+OFFSET('玩法产出(新)'!$C$18,MATCH(X708,'玩法产出(新)'!$B$19:$B$25,0),4)*(1-V708)+OFFSET('玩法产出(新)'!$C$18,1+MATCH(X708,'玩法产出(新)'!$B$19:$B$25,0),4)*(V708))^AC708*(1+OFFSET('玩法产出(新)'!$C$18,MATCH(X708,'玩法产出(新)'!$B$19:$B$25,0),5)*(1+V708)+OFFSET('玩法产出(新)'!$C$18,1+MATCH(X708,'玩法产出(新)'!$B$19:$B$25,5),1)*(V708))^AD708*(1+OFFSET('玩法产出(新)'!$C$18,MATCH(X708,'玩法产出(新)'!$B$19:$B$25,0),6)*(1+V708)+OFFSET('玩法产出(新)'!$C$18,1+MATCH(X708,'玩法产出(新)'!$B$19:$B$25,0),6)*(V708))^AE708</f>
        <v>1564.69583846976</v>
      </c>
      <c r="U708" s="226">
        <f ca="1" t="shared" si="394"/>
        <v>0.106316203109051</v>
      </c>
      <c r="V708" s="226">
        <f ca="1">COUNTIF($X$124:$X708,X708)/(COUNTIF($X$124:$X$723,X708)+1)</f>
        <v>0.967010309278351</v>
      </c>
      <c r="W708" s="19">
        <v>30</v>
      </c>
      <c r="X708" s="19" t="s">
        <v>326</v>
      </c>
      <c r="Y708" s="19">
        <f t="shared" si="400"/>
        <v>59660</v>
      </c>
      <c r="Z708" s="19">
        <f ca="1" t="shared" si="376"/>
        <v>0</v>
      </c>
      <c r="AA708" s="282">
        <f ca="1" t="shared" si="377"/>
        <v>0</v>
      </c>
      <c r="AB708" s="282">
        <f ca="1" t="shared" si="378"/>
        <v>18</v>
      </c>
      <c r="AC708" s="282">
        <f ca="1" t="shared" si="379"/>
        <v>12</v>
      </c>
      <c r="AD708" s="282">
        <f ca="1" t="shared" si="380"/>
        <v>3.0819375</v>
      </c>
      <c r="AE708" s="282">
        <f ca="1" t="shared" si="381"/>
        <v>0.770484375</v>
      </c>
      <c r="AF708" s="19" t="str">
        <f t="shared" si="382"/>
        <v>彩6</v>
      </c>
      <c r="AG708" s="19">
        <f>IFERROR(_xlfn.XLOOKUP(C708+1,[2]基因升级!$E$141:$E$500,[2]基因升级!$D$141:$D$500)-1,AG707)</f>
        <v>122</v>
      </c>
      <c r="AH708" s="19">
        <v>8</v>
      </c>
      <c r="AI708" s="19">
        <f t="shared" si="383"/>
        <v>10.5142500606751</v>
      </c>
      <c r="AJ708" s="19">
        <f t="shared" si="395"/>
        <v>0</v>
      </c>
      <c r="AK708" s="269">
        <v>2.0368</v>
      </c>
      <c r="AL708" s="287">
        <f t="shared" si="363"/>
        <v>25.0399999999996</v>
      </c>
      <c r="AM708" s="287">
        <f t="shared" si="364"/>
        <v>21.4399999999997</v>
      </c>
      <c r="AN708" s="287">
        <f t="shared" si="366"/>
        <v>17.8399999999998</v>
      </c>
      <c r="AO708" s="287">
        <f t="shared" si="360"/>
        <v>14.2399999999999</v>
      </c>
      <c r="AP708" s="287">
        <f t="shared" si="365"/>
        <v>10.6399999999999</v>
      </c>
      <c r="AQ708" s="19">
        <f t="shared" si="384"/>
        <v>5.44214104444505</v>
      </c>
      <c r="AR708" s="19">
        <f t="shared" si="385"/>
        <v>4.26567922263754</v>
      </c>
      <c r="AS708" s="19">
        <f t="shared" si="386"/>
        <v>3.3435405443993</v>
      </c>
      <c r="AT708" s="19">
        <f t="shared" si="387"/>
        <v>2.62074637790735</v>
      </c>
      <c r="AU708" s="19">
        <f t="shared" si="388"/>
        <v>2.05420316760312</v>
      </c>
      <c r="AV708" s="232">
        <f t="shared" si="368"/>
        <v>0.0399999999999991</v>
      </c>
      <c r="AW708" s="232">
        <f t="shared" si="369"/>
        <v>0.0399999999999991</v>
      </c>
      <c r="AX708" s="232">
        <f t="shared" si="370"/>
        <v>0.0399999999999991</v>
      </c>
      <c r="AY708" s="232">
        <f t="shared" si="371"/>
        <v>0.0399999999999991</v>
      </c>
      <c r="AZ708" s="232">
        <f t="shared" si="372"/>
        <v>0.0399999999999991</v>
      </c>
    </row>
    <row r="709" spans="1:52">
      <c r="A709" s="269"/>
      <c r="C709" s="19">
        <v>586</v>
      </c>
      <c r="D709" s="86">
        <f ca="1" t="shared" si="396"/>
        <v>321.097916119271</v>
      </c>
      <c r="E709" s="251">
        <f ca="1" t="shared" si="373"/>
        <v>0.255051202875673</v>
      </c>
      <c r="F709" s="269">
        <f ca="1" t="shared" si="389"/>
        <v>814.675150807471</v>
      </c>
      <c r="G709" s="283">
        <f ca="1" t="shared" si="390"/>
        <v>207.783877166366</v>
      </c>
      <c r="H709" s="279">
        <f ca="1" t="shared" si="391"/>
        <v>0.148661074170548</v>
      </c>
      <c r="I709" s="269">
        <f ca="1">SUM($J$125:J709)/SUM($H$125:H709)</f>
        <v>0.442992798455344</v>
      </c>
      <c r="J709" s="284">
        <f t="shared" si="397"/>
        <v>0.0434643560951145</v>
      </c>
      <c r="K709" s="19">
        <f t="shared" si="399"/>
        <v>59500</v>
      </c>
      <c r="L709" s="269">
        <f t="shared" si="392"/>
        <v>3.97499999999994</v>
      </c>
      <c r="M709" s="226">
        <f ca="1" t="shared" si="393"/>
        <v>2382.336</v>
      </c>
      <c r="N709" s="280">
        <f ca="1" t="shared" si="398"/>
        <v>0.105196718075419</v>
      </c>
      <c r="O709" s="226">
        <f t="shared" si="362"/>
        <v>844.8</v>
      </c>
      <c r="P709" s="19">
        <f ca="1" t="shared" si="367"/>
        <v>19.2</v>
      </c>
      <c r="Q709" s="226">
        <f ca="1" t="shared" si="361"/>
        <v>2.82</v>
      </c>
      <c r="R709" s="269">
        <f ca="1" t="shared" si="374"/>
        <v>1.15834359474148</v>
      </c>
      <c r="S709" s="266">
        <f ca="1" t="shared" si="375"/>
        <v>108.82045547863</v>
      </c>
      <c r="T709" s="226">
        <f ca="1">(1+OFFSET('玩法产出(新)'!$C$18,MATCH(X709,'玩法产出(新)'!$B$19:$B$25,0),1)*(1-V709)+OFFSET('玩法产出(新)'!$C$18,1+MATCH(X709,'玩法产出(新)'!$B$19:$B$25,0),1)*(V709))^AA709*(1+OFFSET('玩法产出(新)'!$C$18,MATCH(X709,'玩法产出(新)'!$B$19:$B$25,0),3)*(1-V709)+OFFSET('玩法产出(新)'!$C$18,1+MATCH(X709,'玩法产出(新)'!$B$19:$B$25,0),3)*(V709))^AB709*(1+OFFSET('玩法产出(新)'!$C$18,MATCH(X709,'玩法产出(新)'!$B$19:$B$25,0),4)*(1-V709)+OFFSET('玩法产出(新)'!$C$18,1+MATCH(X709,'玩法产出(新)'!$B$19:$B$25,0),4)*(V709))^AC709*(1+OFFSET('玩法产出(新)'!$C$18,MATCH(X709,'玩法产出(新)'!$B$19:$B$25,0),5)*(1+V709)+OFFSET('玩法产出(新)'!$C$18,1+MATCH(X709,'玩法产出(新)'!$B$19:$B$25,5),1)*(V709))^AD709*(1+OFFSET('玩法产出(新)'!$C$18,MATCH(X709,'玩法产出(新)'!$B$19:$B$25,0),6)*(1+V709)+OFFSET('玩法产出(新)'!$C$18,1+MATCH(X709,'玩法产出(新)'!$B$19:$B$25,0),6)*(V709))^AE709</f>
        <v>1575.99948554831</v>
      </c>
      <c r="U709" s="226">
        <f ca="1" t="shared" si="394"/>
        <v>0.10639012870514</v>
      </c>
      <c r="V709" s="226">
        <f ca="1">COUNTIF($X$124:$X709,X709)/(COUNTIF($X$124:$X$723,X709)+1)</f>
        <v>0.969072164948454</v>
      </c>
      <c r="W709" s="19">
        <v>30</v>
      </c>
      <c r="X709" s="19" t="s">
        <v>326</v>
      </c>
      <c r="Y709" s="19">
        <f t="shared" si="400"/>
        <v>59760</v>
      </c>
      <c r="Z709" s="19">
        <f ca="1" t="shared" si="376"/>
        <v>0</v>
      </c>
      <c r="AA709" s="282">
        <f ca="1" t="shared" si="377"/>
        <v>0</v>
      </c>
      <c r="AB709" s="282">
        <f ca="1" t="shared" si="378"/>
        <v>18</v>
      </c>
      <c r="AC709" s="282">
        <f ca="1" t="shared" si="379"/>
        <v>12</v>
      </c>
      <c r="AD709" s="282">
        <f ca="1" t="shared" si="380"/>
        <v>3.08715</v>
      </c>
      <c r="AE709" s="282">
        <f ca="1" t="shared" si="381"/>
        <v>0.7717875</v>
      </c>
      <c r="AF709" s="19" t="str">
        <f t="shared" si="382"/>
        <v>彩6</v>
      </c>
      <c r="AG709" s="19">
        <f>IFERROR(_xlfn.XLOOKUP(C709+1,[2]基因升级!$E$141:$E$500,[2]基因升级!$D$141:$D$500)-1,AG708)</f>
        <v>122</v>
      </c>
      <c r="AH709" s="19">
        <v>8</v>
      </c>
      <c r="AI709" s="19">
        <f t="shared" si="383"/>
        <v>10.5142500606751</v>
      </c>
      <c r="AJ709" s="19">
        <f t="shared" si="395"/>
        <v>0</v>
      </c>
      <c r="AK709" s="269">
        <v>2.0368</v>
      </c>
      <c r="AL709" s="287">
        <f t="shared" si="363"/>
        <v>25.0799999999996</v>
      </c>
      <c r="AM709" s="287">
        <f t="shared" si="364"/>
        <v>21.4799999999997</v>
      </c>
      <c r="AN709" s="287">
        <f t="shared" si="366"/>
        <v>17.8799999999998</v>
      </c>
      <c r="AO709" s="287">
        <f t="shared" ref="AO709:AO723" si="401">AN619</f>
        <v>14.2799999999999</v>
      </c>
      <c r="AP709" s="287">
        <f t="shared" si="365"/>
        <v>10.6799999999999</v>
      </c>
      <c r="AQ709" s="19">
        <f t="shared" si="384"/>
        <v>5.4568893087107</v>
      </c>
      <c r="AR709" s="19">
        <f t="shared" si="385"/>
        <v>4.27723926195555</v>
      </c>
      <c r="AS709" s="19">
        <f t="shared" si="386"/>
        <v>3.35260157738779</v>
      </c>
      <c r="AT709" s="19">
        <f t="shared" si="387"/>
        <v>2.62784863046549</v>
      </c>
      <c r="AU709" s="19">
        <f t="shared" si="388"/>
        <v>2.05977008160328</v>
      </c>
      <c r="AV709" s="232">
        <f t="shared" si="368"/>
        <v>0.0399999999999991</v>
      </c>
      <c r="AW709" s="232">
        <f t="shared" si="369"/>
        <v>0.0399999999999991</v>
      </c>
      <c r="AX709" s="232">
        <f t="shared" si="370"/>
        <v>0.0399999999999991</v>
      </c>
      <c r="AY709" s="232">
        <f t="shared" si="371"/>
        <v>0.0399999999999991</v>
      </c>
      <c r="AZ709" s="232">
        <f t="shared" si="372"/>
        <v>0.0399999999999991</v>
      </c>
    </row>
    <row r="710" spans="1:52">
      <c r="A710" s="269"/>
      <c r="C710" s="19">
        <v>587</v>
      </c>
      <c r="D710" s="86">
        <f ca="1" t="shared" si="396"/>
        <v>321.352232617649</v>
      </c>
      <c r="E710" s="251">
        <f ca="1" t="shared" si="373"/>
        <v>0.254316498377892</v>
      </c>
      <c r="F710" s="269">
        <f ca="1" t="shared" si="389"/>
        <v>817.610068504576</v>
      </c>
      <c r="G710" s="283">
        <f ca="1" t="shared" si="390"/>
        <v>207.931729660593</v>
      </c>
      <c r="H710" s="279">
        <f ca="1" t="shared" si="391"/>
        <v>0.147852494226726</v>
      </c>
      <c r="I710" s="269">
        <f ca="1">SUM($J$125:J710)/SUM($H$125:H710)</f>
        <v>0.442881152039943</v>
      </c>
      <c r="J710" s="284">
        <f t="shared" si="397"/>
        <v>0.0433992220655597</v>
      </c>
      <c r="K710" s="19">
        <f t="shared" si="399"/>
        <v>59600</v>
      </c>
      <c r="L710" s="269">
        <f t="shared" si="392"/>
        <v>3.97999999999994</v>
      </c>
      <c r="M710" s="226">
        <f ca="1" t="shared" si="393"/>
        <v>2399.232</v>
      </c>
      <c r="N710" s="280">
        <f ca="1" t="shared" si="398"/>
        <v>0.10445327216118</v>
      </c>
      <c r="O710" s="226">
        <f t="shared" si="362"/>
        <v>844.8</v>
      </c>
      <c r="P710" s="19">
        <f ca="1" t="shared" si="367"/>
        <v>19.4</v>
      </c>
      <c r="Q710" s="226">
        <f ca="1" t="shared" si="361"/>
        <v>2.84</v>
      </c>
      <c r="R710" s="269">
        <f ca="1" t="shared" si="374"/>
        <v>1.15947685499789</v>
      </c>
      <c r="S710" s="266">
        <f ca="1" t="shared" si="375"/>
        <v>108.926919482781</v>
      </c>
      <c r="T710" s="226">
        <f ca="1">(1+OFFSET('玩法产出(新)'!$C$18,MATCH(X710,'玩法产出(新)'!$B$19:$B$25,0),1)*(1-V710)+OFFSET('玩法产出(新)'!$C$18,1+MATCH(X710,'玩法产出(新)'!$B$19:$B$25,0),1)*(V710))^AA710*(1+OFFSET('玩法产出(新)'!$C$18,MATCH(X710,'玩法产出(新)'!$B$19:$B$25,0),3)*(1-V710)+OFFSET('玩法产出(新)'!$C$18,1+MATCH(X710,'玩法产出(新)'!$B$19:$B$25,0),3)*(V710))^AB710*(1+OFFSET('玩法产出(新)'!$C$18,MATCH(X710,'玩法产出(新)'!$B$19:$B$25,0),4)*(1-V710)+OFFSET('玩法产出(新)'!$C$18,1+MATCH(X710,'玩法产出(新)'!$B$19:$B$25,0),4)*(V710))^AC710*(1+OFFSET('玩法产出(新)'!$C$18,MATCH(X710,'玩法产出(新)'!$B$19:$B$25,0),5)*(1+V710)+OFFSET('玩法产出(新)'!$C$18,1+MATCH(X710,'玩法产出(新)'!$B$19:$B$25,5),1)*(V710))^AD710*(1+OFFSET('玩法产出(新)'!$C$18,MATCH(X710,'玩法产出(新)'!$B$19:$B$25,0),6)*(1+V710)+OFFSET('玩法产出(新)'!$C$18,1+MATCH(X710,'玩法产出(新)'!$B$19:$B$25,0),6)*(V710))^AE710</f>
        <v>1587.39272649309</v>
      </c>
      <c r="U710" s="226">
        <f ca="1" t="shared" si="394"/>
        <v>0.106464004151153</v>
      </c>
      <c r="V710" s="226">
        <f ca="1">COUNTIF($X$124:$X710,X710)/(COUNTIF($X$124:$X$723,X710)+1)</f>
        <v>0.971134020618557</v>
      </c>
      <c r="W710" s="19">
        <v>30</v>
      </c>
      <c r="X710" s="19" t="s">
        <v>326</v>
      </c>
      <c r="Y710" s="19">
        <f t="shared" si="400"/>
        <v>59860</v>
      </c>
      <c r="Z710" s="19">
        <f ca="1" t="shared" si="376"/>
        <v>0</v>
      </c>
      <c r="AA710" s="282">
        <f ca="1" t="shared" si="377"/>
        <v>0</v>
      </c>
      <c r="AB710" s="282">
        <f ca="1" t="shared" si="378"/>
        <v>18</v>
      </c>
      <c r="AC710" s="282">
        <f ca="1" t="shared" si="379"/>
        <v>12</v>
      </c>
      <c r="AD710" s="282">
        <f ca="1" t="shared" si="380"/>
        <v>3.0923625</v>
      </c>
      <c r="AE710" s="282">
        <f ca="1" t="shared" si="381"/>
        <v>0.773090625</v>
      </c>
      <c r="AF710" s="19" t="str">
        <f t="shared" si="382"/>
        <v>彩6</v>
      </c>
      <c r="AG710" s="19">
        <f>IFERROR(_xlfn.XLOOKUP(C710+1,[2]基因升级!$E$141:$E$500,[2]基因升级!$D$141:$D$500)-1,AG709)</f>
        <v>122</v>
      </c>
      <c r="AH710" s="19">
        <v>8</v>
      </c>
      <c r="AI710" s="19">
        <f t="shared" si="383"/>
        <v>10.5142500606751</v>
      </c>
      <c r="AJ710" s="19">
        <f t="shared" si="395"/>
        <v>0</v>
      </c>
      <c r="AK710" s="269">
        <v>2.0368</v>
      </c>
      <c r="AL710" s="287">
        <f t="shared" si="363"/>
        <v>25.1199999999996</v>
      </c>
      <c r="AM710" s="287">
        <f t="shared" si="364"/>
        <v>21.5199999999997</v>
      </c>
      <c r="AN710" s="287">
        <f t="shared" si="366"/>
        <v>17.9199999999998</v>
      </c>
      <c r="AO710" s="287">
        <f t="shared" si="401"/>
        <v>14.3199999999999</v>
      </c>
      <c r="AP710" s="287">
        <f t="shared" si="365"/>
        <v>10.7199999999999</v>
      </c>
      <c r="AQ710" s="19">
        <f t="shared" si="384"/>
        <v>5.47167754094064</v>
      </c>
      <c r="AR710" s="19">
        <f t="shared" si="385"/>
        <v>4.28883062911189</v>
      </c>
      <c r="AS710" s="19">
        <f t="shared" si="386"/>
        <v>3.36168716587897</v>
      </c>
      <c r="AT710" s="19">
        <f t="shared" si="387"/>
        <v>2.63497013020901</v>
      </c>
      <c r="AU710" s="19">
        <f t="shared" si="388"/>
        <v>2.06535208200384</v>
      </c>
      <c r="AV710" s="232">
        <f t="shared" si="368"/>
        <v>0.0399999999999991</v>
      </c>
      <c r="AW710" s="232">
        <f t="shared" si="369"/>
        <v>0.0399999999999991</v>
      </c>
      <c r="AX710" s="232">
        <f t="shared" si="370"/>
        <v>0.0399999999999991</v>
      </c>
      <c r="AY710" s="232">
        <f t="shared" si="371"/>
        <v>0.0399999999999991</v>
      </c>
      <c r="AZ710" s="232">
        <f t="shared" si="372"/>
        <v>0.0399999999999991</v>
      </c>
    </row>
    <row r="711" spans="1:52">
      <c r="A711" s="269"/>
      <c r="C711" s="19">
        <v>588</v>
      </c>
      <c r="D711" s="86">
        <f ca="1" t="shared" si="396"/>
        <v>321.605824994598</v>
      </c>
      <c r="E711" s="251">
        <f ca="1" t="shared" si="373"/>
        <v>0.253592376949021</v>
      </c>
      <c r="F711" s="269">
        <f ca="1" t="shared" si="389"/>
        <v>820.52460216445</v>
      </c>
      <c r="G711" s="283">
        <f ca="1" t="shared" si="390"/>
        <v>208.078784208033</v>
      </c>
      <c r="H711" s="279">
        <f ca="1" t="shared" si="391"/>
        <v>0.147054547440177</v>
      </c>
      <c r="I711" s="269">
        <f ca="1">SUM($J$125:J711)/SUM($H$125:H711)</f>
        <v>0.442771128138419</v>
      </c>
      <c r="J711" s="284">
        <f t="shared" si="397"/>
        <v>0.0433342867352593</v>
      </c>
      <c r="K711" s="19">
        <f t="shared" si="399"/>
        <v>59700</v>
      </c>
      <c r="L711" s="269">
        <f t="shared" si="392"/>
        <v>3.98499999999994</v>
      </c>
      <c r="M711" s="226">
        <f ca="1" t="shared" si="393"/>
        <v>2416.128</v>
      </c>
      <c r="N711" s="280">
        <f ca="1" t="shared" si="398"/>
        <v>0.103720260704904</v>
      </c>
      <c r="O711" s="226">
        <f t="shared" si="362"/>
        <v>844.8</v>
      </c>
      <c r="P711" s="19">
        <f ca="1" t="shared" si="367"/>
        <v>19.6</v>
      </c>
      <c r="Q711" s="226">
        <f ca="1" t="shared" si="361"/>
        <v>2.86</v>
      </c>
      <c r="R711" s="269">
        <f ca="1" t="shared" si="374"/>
        <v>1.16061090109122</v>
      </c>
      <c r="S711" s="266">
        <f ca="1" t="shared" si="375"/>
        <v>109.03345731229</v>
      </c>
      <c r="T711" s="226">
        <f ca="1">(1+OFFSET('玩法产出(新)'!$C$18,MATCH(X711,'玩法产出(新)'!$B$19:$B$25,0),1)*(1-V711)+OFFSET('玩法产出(新)'!$C$18,1+MATCH(X711,'玩法产出(新)'!$B$19:$B$25,0),1)*(V711))^AA711*(1+OFFSET('玩法产出(新)'!$C$18,MATCH(X711,'玩法产出(新)'!$B$19:$B$25,0),3)*(1-V711)+OFFSET('玩法产出(新)'!$C$18,1+MATCH(X711,'玩法产出(新)'!$B$19:$B$25,0),3)*(V711))^AB711*(1+OFFSET('玩法产出(新)'!$C$18,MATCH(X711,'玩法产出(新)'!$B$19:$B$25,0),4)*(1-V711)+OFFSET('玩法产出(新)'!$C$18,1+MATCH(X711,'玩法产出(新)'!$B$19:$B$25,0),4)*(V711))^AC711*(1+OFFSET('玩法产出(新)'!$C$18,MATCH(X711,'玩法产出(新)'!$B$19:$B$25,0),5)*(1+V711)+OFFSET('玩法产出(新)'!$C$18,1+MATCH(X711,'玩法产出(新)'!$B$19:$B$25,5),1)*(V711))^AD711*(1+OFFSET('玩法产出(新)'!$C$18,MATCH(X711,'玩法产出(新)'!$B$19:$B$25,0),6)*(1+V711)+OFFSET('玩法产出(新)'!$C$18,1+MATCH(X711,'玩法产出(新)'!$B$19:$B$25,0),6)*(V711))^AE711</f>
        <v>1598.87631788502</v>
      </c>
      <c r="U711" s="226">
        <f ca="1" t="shared" si="394"/>
        <v>0.106537829508858</v>
      </c>
      <c r="V711" s="226">
        <f ca="1">COUNTIF($X$124:$X711,X711)/(COUNTIF($X$124:$X$723,X711)+1)</f>
        <v>0.97319587628866</v>
      </c>
      <c r="W711" s="19">
        <v>30</v>
      </c>
      <c r="X711" s="19" t="s">
        <v>326</v>
      </c>
      <c r="Y711" s="19">
        <f t="shared" si="400"/>
        <v>59960</v>
      </c>
      <c r="Z711" s="19">
        <f ca="1" t="shared" si="376"/>
        <v>0</v>
      </c>
      <c r="AA711" s="282">
        <f ca="1" t="shared" si="377"/>
        <v>0</v>
      </c>
      <c r="AB711" s="282">
        <f ca="1" t="shared" si="378"/>
        <v>18</v>
      </c>
      <c r="AC711" s="282">
        <f ca="1" t="shared" si="379"/>
        <v>12</v>
      </c>
      <c r="AD711" s="282">
        <f ca="1" t="shared" si="380"/>
        <v>3.097575</v>
      </c>
      <c r="AE711" s="282">
        <f ca="1" t="shared" si="381"/>
        <v>0.77439375</v>
      </c>
      <c r="AF711" s="19" t="str">
        <f t="shared" si="382"/>
        <v>彩6</v>
      </c>
      <c r="AG711" s="19">
        <f>IFERROR(_xlfn.XLOOKUP(C711+1,[2]基因升级!$E$141:$E$500,[2]基因升级!$D$141:$D$500)-1,AG710)</f>
        <v>122</v>
      </c>
      <c r="AH711" s="19">
        <v>8</v>
      </c>
      <c r="AI711" s="19">
        <f t="shared" si="383"/>
        <v>10.5142500606751</v>
      </c>
      <c r="AJ711" s="19">
        <f t="shared" si="395"/>
        <v>0</v>
      </c>
      <c r="AK711" s="269">
        <v>2.0368</v>
      </c>
      <c r="AL711" s="287">
        <f t="shared" si="363"/>
        <v>25.1599999999996</v>
      </c>
      <c r="AM711" s="287">
        <f t="shared" si="364"/>
        <v>21.5599999999997</v>
      </c>
      <c r="AN711" s="287">
        <f t="shared" si="366"/>
        <v>17.9599999999998</v>
      </c>
      <c r="AO711" s="287">
        <f t="shared" si="401"/>
        <v>14.3599999999999</v>
      </c>
      <c r="AP711" s="287">
        <f t="shared" si="365"/>
        <v>10.7599999999999</v>
      </c>
      <c r="AQ711" s="19">
        <f t="shared" si="384"/>
        <v>5.48650584944848</v>
      </c>
      <c r="AR711" s="19">
        <f t="shared" si="385"/>
        <v>4.30045340900536</v>
      </c>
      <c r="AS711" s="19">
        <f t="shared" si="386"/>
        <v>3.37079737641852</v>
      </c>
      <c r="AT711" s="19">
        <f t="shared" si="387"/>
        <v>2.64211092929802</v>
      </c>
      <c r="AU711" s="19">
        <f t="shared" si="388"/>
        <v>2.07094920968911</v>
      </c>
      <c r="AV711" s="232">
        <f t="shared" si="368"/>
        <v>0.0399999999999991</v>
      </c>
      <c r="AW711" s="232">
        <f t="shared" si="369"/>
        <v>0.0399999999999991</v>
      </c>
      <c r="AX711" s="232">
        <f t="shared" si="370"/>
        <v>0.0399999999999991</v>
      </c>
      <c r="AY711" s="232">
        <f t="shared" si="371"/>
        <v>0.0399999999999991</v>
      </c>
      <c r="AZ711" s="232">
        <f t="shared" si="372"/>
        <v>0.0399999999999991</v>
      </c>
    </row>
    <row r="712" spans="1:52">
      <c r="A712" s="269"/>
      <c r="C712" s="19">
        <v>589</v>
      </c>
      <c r="D712" s="86">
        <f ca="1" t="shared" si="396"/>
        <v>321.858703614179</v>
      </c>
      <c r="E712" s="251">
        <f ca="1" t="shared" si="373"/>
        <v>0.25287861958163</v>
      </c>
      <c r="F712" s="269">
        <f ca="1" t="shared" si="389"/>
        <v>823.418965064221</v>
      </c>
      <c r="G712" s="283">
        <f ca="1" t="shared" si="390"/>
        <v>208.225051222774</v>
      </c>
      <c r="H712" s="279">
        <f ca="1" t="shared" si="391"/>
        <v>0.146267014741625</v>
      </c>
      <c r="I712" s="269">
        <f ca="1">SUM($J$125:J712)/SUM($H$125:H712)</f>
        <v>0.442662699552761</v>
      </c>
      <c r="J712" s="284">
        <f t="shared" si="397"/>
        <v>0.0432695491804935</v>
      </c>
      <c r="K712" s="19">
        <f t="shared" si="399"/>
        <v>59800</v>
      </c>
      <c r="L712" s="269">
        <f t="shared" si="392"/>
        <v>3.98999999999994</v>
      </c>
      <c r="M712" s="226">
        <f ca="1" t="shared" si="393"/>
        <v>2433.024</v>
      </c>
      <c r="N712" s="280">
        <f ca="1" t="shared" si="398"/>
        <v>0.102997465561131</v>
      </c>
      <c r="O712" s="226">
        <f t="shared" si="362"/>
        <v>844.8</v>
      </c>
      <c r="P712" s="19">
        <f ca="1" t="shared" si="367"/>
        <v>19.8</v>
      </c>
      <c r="Q712" s="226">
        <f ca="1" t="shared" si="361"/>
        <v>2.88</v>
      </c>
      <c r="R712" s="269">
        <f ca="1" t="shared" si="374"/>
        <v>1.16174573248894</v>
      </c>
      <c r="S712" s="266">
        <f ca="1" t="shared" si="375"/>
        <v>109.14006891713</v>
      </c>
      <c r="T712" s="226">
        <f ca="1">(1+OFFSET('玩法产出(新)'!$C$18,MATCH(X712,'玩法产出(新)'!$B$19:$B$25,0),1)*(1-V712)+OFFSET('玩法产出(新)'!$C$18,1+MATCH(X712,'玩法产出(新)'!$B$19:$B$25,0),1)*(V712))^AA712*(1+OFFSET('玩法产出(新)'!$C$18,MATCH(X712,'玩法产出(新)'!$B$19:$B$25,0),3)*(1-V712)+OFFSET('玩法产出(新)'!$C$18,1+MATCH(X712,'玩法产出(新)'!$B$19:$B$25,0),3)*(V712))^AB712*(1+OFFSET('玩法产出(新)'!$C$18,MATCH(X712,'玩法产出(新)'!$B$19:$B$25,0),4)*(1-V712)+OFFSET('玩法产出(新)'!$C$18,1+MATCH(X712,'玩法产出(新)'!$B$19:$B$25,0),4)*(V712))^AC712*(1+OFFSET('玩法产出(新)'!$C$18,MATCH(X712,'玩法产出(新)'!$B$19:$B$25,0),5)*(1+V712)+OFFSET('玩法产出(新)'!$C$18,1+MATCH(X712,'玩法产出(新)'!$B$19:$B$25,5),1)*(V712))^AD712*(1+OFFSET('玩法产出(新)'!$C$18,MATCH(X712,'玩法产出(新)'!$B$19:$B$25,0),6)*(1+V712)+OFFSET('玩法产出(新)'!$C$18,1+MATCH(X712,'玩法产出(新)'!$B$19:$B$25,0),6)*(V712))^AE712</f>
        <v>1610.45102302521</v>
      </c>
      <c r="U712" s="226">
        <f ca="1" t="shared" si="394"/>
        <v>0.106611604840005</v>
      </c>
      <c r="V712" s="226">
        <f ca="1">COUNTIF($X$124:$X712,X712)/(COUNTIF($X$124:$X$723,X712)+1)</f>
        <v>0.975257731958763</v>
      </c>
      <c r="W712" s="19">
        <v>30</v>
      </c>
      <c r="X712" s="19" t="s">
        <v>326</v>
      </c>
      <c r="Y712" s="19">
        <f t="shared" si="400"/>
        <v>60060</v>
      </c>
      <c r="Z712" s="19">
        <f ca="1" t="shared" si="376"/>
        <v>0</v>
      </c>
      <c r="AA712" s="282">
        <f ca="1" t="shared" si="377"/>
        <v>0</v>
      </c>
      <c r="AB712" s="282">
        <f ca="1" t="shared" si="378"/>
        <v>18</v>
      </c>
      <c r="AC712" s="282">
        <f ca="1" t="shared" si="379"/>
        <v>12</v>
      </c>
      <c r="AD712" s="282">
        <f ca="1" t="shared" si="380"/>
        <v>3.1027875</v>
      </c>
      <c r="AE712" s="282">
        <f ca="1" t="shared" si="381"/>
        <v>0.775696875</v>
      </c>
      <c r="AF712" s="19" t="str">
        <f t="shared" si="382"/>
        <v>彩6</v>
      </c>
      <c r="AG712" s="19">
        <f>IFERROR(_xlfn.XLOOKUP(C712+1,[2]基因升级!$E$141:$E$500,[2]基因升级!$D$141:$D$500)-1,AG711)</f>
        <v>122</v>
      </c>
      <c r="AH712" s="19">
        <v>8</v>
      </c>
      <c r="AI712" s="19">
        <f t="shared" si="383"/>
        <v>10.5142500606751</v>
      </c>
      <c r="AJ712" s="19">
        <f t="shared" si="395"/>
        <v>0</v>
      </c>
      <c r="AK712" s="269">
        <v>2.0368</v>
      </c>
      <c r="AL712" s="287">
        <f t="shared" si="363"/>
        <v>25.1999999999996</v>
      </c>
      <c r="AM712" s="287">
        <f t="shared" si="364"/>
        <v>21.5999999999997</v>
      </c>
      <c r="AN712" s="287">
        <f t="shared" si="366"/>
        <v>17.9999999999998</v>
      </c>
      <c r="AO712" s="287">
        <f t="shared" si="401"/>
        <v>14.3999999999999</v>
      </c>
      <c r="AP712" s="287">
        <f t="shared" si="365"/>
        <v>10.7999999999999</v>
      </c>
      <c r="AQ712" s="19">
        <f t="shared" si="384"/>
        <v>5.50137434284142</v>
      </c>
      <c r="AR712" s="19">
        <f t="shared" si="385"/>
        <v>4.31210768676483</v>
      </c>
      <c r="AS712" s="19">
        <f t="shared" si="386"/>
        <v>3.37993227573249</v>
      </c>
      <c r="AT712" s="19">
        <f t="shared" si="387"/>
        <v>2.64927108003396</v>
      </c>
      <c r="AU712" s="19">
        <f t="shared" si="388"/>
        <v>2.07656150565421</v>
      </c>
      <c r="AV712" s="232">
        <f t="shared" si="368"/>
        <v>0.0399999999999991</v>
      </c>
      <c r="AW712" s="232">
        <f t="shared" si="369"/>
        <v>0.0399999999999991</v>
      </c>
      <c r="AX712" s="232">
        <f t="shared" si="370"/>
        <v>0.0399999999999991</v>
      </c>
      <c r="AY712" s="232">
        <f t="shared" si="371"/>
        <v>0.0399999999999991</v>
      </c>
      <c r="AZ712" s="232">
        <f t="shared" si="372"/>
        <v>0.0399999999999991</v>
      </c>
    </row>
    <row r="713" spans="1:52">
      <c r="A713" s="269"/>
      <c r="C713" s="19">
        <v>590</v>
      </c>
      <c r="D713" s="86">
        <f ca="1" t="shared" si="396"/>
        <v>322.110878627492</v>
      </c>
      <c r="E713" s="251">
        <f ca="1" t="shared" si="373"/>
        <v>0.252175013312293</v>
      </c>
      <c r="F713" s="269">
        <f ca="1" t="shared" si="389"/>
        <v>826.293367328329</v>
      </c>
      <c r="G713" s="283">
        <f ca="1" t="shared" si="390"/>
        <v>208.370540905881</v>
      </c>
      <c r="H713" s="279">
        <f ca="1" t="shared" si="391"/>
        <v>0.145489683106319</v>
      </c>
      <c r="I713" s="269">
        <f ca="1">SUM($J$125:J713)/SUM($H$125:H713)</f>
        <v>0.442555839696954</v>
      </c>
      <c r="J713" s="284">
        <f t="shared" si="397"/>
        <v>0.0432050084833548</v>
      </c>
      <c r="K713" s="19">
        <f t="shared" si="399"/>
        <v>59900</v>
      </c>
      <c r="L713" s="269">
        <f t="shared" si="392"/>
        <v>3.99499999999994</v>
      </c>
      <c r="M713" s="226">
        <f ca="1" t="shared" si="393"/>
        <v>2449.92</v>
      </c>
      <c r="N713" s="280">
        <f ca="1" t="shared" si="398"/>
        <v>0.102284674622965</v>
      </c>
      <c r="O713" s="226">
        <f t="shared" si="362"/>
        <v>844.8</v>
      </c>
      <c r="P713" s="19">
        <f ca="1" t="shared" si="367"/>
        <v>20</v>
      </c>
      <c r="Q713" s="226">
        <f ca="1" t="shared" ref="Q713:Q723" si="402">_xlfn.XLOOKUP(O713,$D$76:$D$95,$E$76:$E$95)*(P713-1)+1</f>
        <v>2.9</v>
      </c>
      <c r="R713" s="269">
        <f ca="1" t="shared" si="374"/>
        <v>1.1628813486592</v>
      </c>
      <c r="S713" s="266">
        <f ca="1" t="shared" si="375"/>
        <v>109.246754247336</v>
      </c>
      <c r="T713" s="226">
        <f ca="1">(1+OFFSET('玩法产出(新)'!$C$18,MATCH(X713,'玩法产出(新)'!$B$19:$B$25,0),1)*(1-V713)+OFFSET('玩法产出(新)'!$C$18,1+MATCH(X713,'玩法产出(新)'!$B$19:$B$25,0),1)*(V713))^AA713*(1+OFFSET('玩法产出(新)'!$C$18,MATCH(X713,'玩法产出(新)'!$B$19:$B$25,0),3)*(1-V713)+OFFSET('玩法产出(新)'!$C$18,1+MATCH(X713,'玩法产出(新)'!$B$19:$B$25,0),3)*(V713))^AB713*(1+OFFSET('玩法产出(新)'!$C$18,MATCH(X713,'玩法产出(新)'!$B$19:$B$25,0),4)*(1-V713)+OFFSET('玩法产出(新)'!$C$18,1+MATCH(X713,'玩法产出(新)'!$B$19:$B$25,0),4)*(V713))^AC713*(1+OFFSET('玩法产出(新)'!$C$18,MATCH(X713,'玩法产出(新)'!$B$19:$B$25,0),5)*(1+V713)+OFFSET('玩法产出(新)'!$C$18,1+MATCH(X713,'玩法产出(新)'!$B$19:$B$25,5),1)*(V713))^AD713*(1+OFFSET('玩法产出(新)'!$C$18,MATCH(X713,'玩法产出(新)'!$B$19:$B$25,0),6)*(1+V713)+OFFSET('玩法产出(新)'!$C$18,1+MATCH(X713,'玩法产出(新)'!$B$19:$B$25,0),6)*(V713))^AE713</f>
        <v>1622.11761199715</v>
      </c>
      <c r="U713" s="226">
        <f ca="1" t="shared" si="394"/>
        <v>0.106685330205974</v>
      </c>
      <c r="V713" s="226">
        <f ca="1">COUNTIF($X$124:$X713,X713)/(COUNTIF($X$124:$X$723,X713)+1)</f>
        <v>0.977319587628866</v>
      </c>
      <c r="W713" s="19">
        <v>30</v>
      </c>
      <c r="X713" s="19" t="s">
        <v>326</v>
      </c>
      <c r="Y713" s="19">
        <f t="shared" si="400"/>
        <v>60160</v>
      </c>
      <c r="Z713" s="19">
        <f ca="1" t="shared" si="376"/>
        <v>0</v>
      </c>
      <c r="AA713" s="282">
        <f ca="1" t="shared" si="377"/>
        <v>0</v>
      </c>
      <c r="AB713" s="282">
        <f ca="1" t="shared" si="378"/>
        <v>18</v>
      </c>
      <c r="AC713" s="282">
        <f ca="1" t="shared" si="379"/>
        <v>12</v>
      </c>
      <c r="AD713" s="282">
        <f ca="1" t="shared" si="380"/>
        <v>3.108</v>
      </c>
      <c r="AE713" s="282">
        <f ca="1" t="shared" si="381"/>
        <v>0.777</v>
      </c>
      <c r="AF713" s="19" t="str">
        <f t="shared" si="382"/>
        <v>彩6</v>
      </c>
      <c r="AG713" s="19">
        <f>IFERROR(_xlfn.XLOOKUP(C713+1,[2]基因升级!$E$141:$E$500,[2]基因升级!$D$141:$D$500)-1,AG712)</f>
        <v>122</v>
      </c>
      <c r="AH713" s="19">
        <v>8</v>
      </c>
      <c r="AI713" s="19">
        <f t="shared" si="383"/>
        <v>10.5142500606751</v>
      </c>
      <c r="AJ713" s="19">
        <f t="shared" si="395"/>
        <v>0</v>
      </c>
      <c r="AK713" s="269">
        <v>2.0368</v>
      </c>
      <c r="AL713" s="287">
        <f t="shared" si="363"/>
        <v>25.2399999999996</v>
      </c>
      <c r="AM713" s="287">
        <f t="shared" si="364"/>
        <v>21.6399999999997</v>
      </c>
      <c r="AN713" s="287">
        <f t="shared" si="366"/>
        <v>18.0399999999998</v>
      </c>
      <c r="AO713" s="287">
        <f t="shared" si="401"/>
        <v>14.4399999999999</v>
      </c>
      <c r="AP713" s="287">
        <f t="shared" si="365"/>
        <v>10.8399999999999</v>
      </c>
      <c r="AQ713" s="19">
        <f t="shared" si="384"/>
        <v>5.51628313002093</v>
      </c>
      <c r="AR713" s="19">
        <f t="shared" si="385"/>
        <v>4.32379354774987</v>
      </c>
      <c r="AS713" s="19">
        <f t="shared" si="386"/>
        <v>3.38909193072772</v>
      </c>
      <c r="AT713" s="19">
        <f t="shared" si="387"/>
        <v>2.65645063486001</v>
      </c>
      <c r="AU713" s="19">
        <f t="shared" si="388"/>
        <v>2.08218901100535</v>
      </c>
      <c r="AV713" s="232">
        <f t="shared" si="368"/>
        <v>0.0399999999999991</v>
      </c>
      <c r="AW713" s="232">
        <f t="shared" si="369"/>
        <v>0.0399999999999991</v>
      </c>
      <c r="AX713" s="232">
        <f t="shared" si="370"/>
        <v>0.0399999999999991</v>
      </c>
      <c r="AY713" s="232">
        <f t="shared" si="371"/>
        <v>0.0399999999999991</v>
      </c>
      <c r="AZ713" s="232">
        <f t="shared" si="372"/>
        <v>0.0399999999999991</v>
      </c>
    </row>
    <row r="714" spans="1:52">
      <c r="A714" s="269"/>
      <c r="C714" s="19">
        <v>591</v>
      </c>
      <c r="D714" s="86">
        <f ca="1" t="shared" si="396"/>
        <v>322.362359978507</v>
      </c>
      <c r="E714" s="251">
        <f ca="1" t="shared" si="373"/>
        <v>0.251481351015016</v>
      </c>
      <c r="F714" s="269">
        <f ca="1" t="shared" si="389"/>
        <v>829.148015984602</v>
      </c>
      <c r="G714" s="283">
        <f ca="1" t="shared" si="390"/>
        <v>208.515263251227</v>
      </c>
      <c r="H714" s="279">
        <f ca="1" t="shared" si="391"/>
        <v>0.144722345346565</v>
      </c>
      <c r="I714" s="269">
        <f ca="1">SUM($J$125:J714)/SUM($H$125:H714)</f>
        <v>0.442450522579299</v>
      </c>
      <c r="J714" s="284">
        <f t="shared" si="397"/>
        <v>0.0431406637316911</v>
      </c>
      <c r="K714" s="19">
        <f t="shared" si="399"/>
        <v>60000</v>
      </c>
      <c r="L714" s="269">
        <f t="shared" si="392"/>
        <v>3.99999999999994</v>
      </c>
      <c r="M714" s="226">
        <f ca="1" t="shared" si="393"/>
        <v>2466.816</v>
      </c>
      <c r="N714" s="280">
        <f ca="1" t="shared" si="398"/>
        <v>0.101581681614903</v>
      </c>
      <c r="O714" s="226">
        <f t="shared" ref="O714:O723" si="403">IF(MOD(C714,60)=0,_xlfn.XLOOKUP(_xlfn.XLOOKUP(O713,$D$76:$D$95,$C$76:$C$95)+1,$C$76:$C$95,$D$76:$D$95),O713)</f>
        <v>844.8</v>
      </c>
      <c r="P714" s="19">
        <f ca="1" t="shared" si="367"/>
        <v>20.2</v>
      </c>
      <c r="Q714" s="226">
        <f ca="1" t="shared" si="402"/>
        <v>2.92</v>
      </c>
      <c r="R714" s="269">
        <f ca="1" t="shared" si="374"/>
        <v>1.16401774907081</v>
      </c>
      <c r="S714" s="266">
        <f ca="1" t="shared" si="375"/>
        <v>109.353513253004</v>
      </c>
      <c r="T714" s="226">
        <f ca="1">(1+OFFSET('玩法产出(新)'!$C$18,MATCH(X714,'玩法产出(新)'!$B$19:$B$25,0),1)*(1-V714)+OFFSET('玩法产出(新)'!$C$18,1+MATCH(X714,'玩法产出(新)'!$B$19:$B$25,0),1)*(V714))^AA714*(1+OFFSET('玩法产出(新)'!$C$18,MATCH(X714,'玩法产出(新)'!$B$19:$B$25,0),3)*(1-V714)+OFFSET('玩法产出(新)'!$C$18,1+MATCH(X714,'玩法产出(新)'!$B$19:$B$25,0),3)*(V714))^AB714*(1+OFFSET('玩法产出(新)'!$C$18,MATCH(X714,'玩法产出(新)'!$B$19:$B$25,0),4)*(1-V714)+OFFSET('玩法产出(新)'!$C$18,1+MATCH(X714,'玩法产出(新)'!$B$19:$B$25,0),4)*(V714))^AC714*(1+OFFSET('玩法产出(新)'!$C$18,MATCH(X714,'玩法产出(新)'!$B$19:$B$25,0),5)*(1+V714)+OFFSET('玩法产出(新)'!$C$18,1+MATCH(X714,'玩法产出(新)'!$B$19:$B$25,5),1)*(V714))^AD714*(1+OFFSET('玩法产出(新)'!$C$18,MATCH(X714,'玩法产出(新)'!$B$19:$B$25,0),6)*(1+V714)+OFFSET('玩法产出(新)'!$C$18,1+MATCH(X714,'玩法产出(新)'!$B$19:$B$25,0),6)*(V714))^AE714</f>
        <v>1633.87686172965</v>
      </c>
      <c r="U714" s="226">
        <f ca="1" t="shared" si="394"/>
        <v>0.106759005668422</v>
      </c>
      <c r="V714" s="226">
        <f ca="1">COUNTIF($X$124:$X714,X714)/(COUNTIF($X$124:$X$723,X714)+1)</f>
        <v>0.979381443298969</v>
      </c>
      <c r="W714" s="19">
        <v>30</v>
      </c>
      <c r="X714" s="19" t="s">
        <v>326</v>
      </c>
      <c r="Y714" s="19">
        <f t="shared" si="400"/>
        <v>60260</v>
      </c>
      <c r="Z714" s="19">
        <f ca="1" t="shared" si="376"/>
        <v>0</v>
      </c>
      <c r="AA714" s="282">
        <f ca="1" t="shared" si="377"/>
        <v>0</v>
      </c>
      <c r="AB714" s="282">
        <f ca="1" t="shared" si="378"/>
        <v>18</v>
      </c>
      <c r="AC714" s="282">
        <f ca="1" t="shared" si="379"/>
        <v>12</v>
      </c>
      <c r="AD714" s="282">
        <f ca="1" t="shared" si="380"/>
        <v>3.1132125</v>
      </c>
      <c r="AE714" s="282">
        <f ca="1" t="shared" si="381"/>
        <v>0.778303125</v>
      </c>
      <c r="AF714" s="19" t="str">
        <f t="shared" si="382"/>
        <v>彩6</v>
      </c>
      <c r="AG714" s="19">
        <f>IFERROR(_xlfn.XLOOKUP(C714+1,[2]基因升级!$E$141:$E$500,[2]基因升级!$D$141:$D$500)-1,AG713)</f>
        <v>123</v>
      </c>
      <c r="AH714" s="19">
        <v>8</v>
      </c>
      <c r="AI714" s="19">
        <f t="shared" si="383"/>
        <v>10.5142500606751</v>
      </c>
      <c r="AJ714" s="19">
        <f t="shared" si="395"/>
        <v>0</v>
      </c>
      <c r="AK714" s="269">
        <v>2.0368</v>
      </c>
      <c r="AL714" s="287">
        <f t="shared" si="363"/>
        <v>25.2799999999996</v>
      </c>
      <c r="AM714" s="287">
        <f t="shared" si="364"/>
        <v>21.6799999999997</v>
      </c>
      <c r="AN714" s="287">
        <f t="shared" si="366"/>
        <v>18.0799999999998</v>
      </c>
      <c r="AO714" s="287">
        <f t="shared" si="401"/>
        <v>14.4799999999999</v>
      </c>
      <c r="AP714" s="287">
        <f t="shared" si="365"/>
        <v>10.8799999999999</v>
      </c>
      <c r="AQ714" s="19">
        <f t="shared" si="384"/>
        <v>5.53123232018365</v>
      </c>
      <c r="AR714" s="19">
        <f t="shared" si="385"/>
        <v>4.33551107755139</v>
      </c>
      <c r="AS714" s="19">
        <f t="shared" si="386"/>
        <v>3.39827640849241</v>
      </c>
      <c r="AT714" s="19">
        <f t="shared" si="387"/>
        <v>2.66364964636149</v>
      </c>
      <c r="AU714" s="19">
        <f t="shared" si="388"/>
        <v>2.08783176696014</v>
      </c>
      <c r="AV714" s="232">
        <f t="shared" si="368"/>
        <v>0.0399999999999991</v>
      </c>
      <c r="AW714" s="232">
        <f t="shared" si="369"/>
        <v>0.0399999999999991</v>
      </c>
      <c r="AX714" s="232">
        <f t="shared" si="370"/>
        <v>0.0399999999999991</v>
      </c>
      <c r="AY714" s="232">
        <f t="shared" si="371"/>
        <v>0.0399999999999991</v>
      </c>
      <c r="AZ714" s="232">
        <f t="shared" si="372"/>
        <v>0.0399999999999991</v>
      </c>
    </row>
    <row r="715" spans="1:52">
      <c r="A715" s="269"/>
      <c r="C715" s="19">
        <v>592</v>
      </c>
      <c r="D715" s="86">
        <f ca="1" t="shared" si="396"/>
        <v>322.613157409708</v>
      </c>
      <c r="E715" s="251">
        <f ca="1" t="shared" si="373"/>
        <v>0.250797431201265</v>
      </c>
      <c r="F715" s="269">
        <f ca="1" t="shared" si="389"/>
        <v>831.983115025172</v>
      </c>
      <c r="G715" s="283">
        <f ca="1" t="shared" si="390"/>
        <v>208.65922805114</v>
      </c>
      <c r="H715" s="279">
        <f ca="1" t="shared" si="391"/>
        <v>0.143964799912652</v>
      </c>
      <c r="I715" s="269">
        <f ca="1">SUM($J$125:J715)/SUM($H$125:H715)</f>
        <v>0.442346722785363</v>
      </c>
      <c r="J715" s="284">
        <f t="shared" si="397"/>
        <v>0.0430765140190772</v>
      </c>
      <c r="K715" s="19">
        <f t="shared" si="399"/>
        <v>60100</v>
      </c>
      <c r="L715" s="269">
        <f t="shared" si="392"/>
        <v>4.00499999999994</v>
      </c>
      <c r="M715" s="226">
        <f ca="1" t="shared" si="393"/>
        <v>2483.712</v>
      </c>
      <c r="N715" s="280">
        <f ca="1" t="shared" si="398"/>
        <v>0.100888285893589</v>
      </c>
      <c r="O715" s="226">
        <f t="shared" si="403"/>
        <v>844.8</v>
      </c>
      <c r="P715" s="19">
        <f ca="1" t="shared" si="367"/>
        <v>20.4</v>
      </c>
      <c r="Q715" s="226">
        <f ca="1" t="shared" si="402"/>
        <v>2.94</v>
      </c>
      <c r="R715" s="269">
        <f ca="1" t="shared" si="374"/>
        <v>1.16515493319321</v>
      </c>
      <c r="S715" s="266">
        <f ca="1" t="shared" si="375"/>
        <v>109.460345884293</v>
      </c>
      <c r="T715" s="226">
        <f ca="1">(1+OFFSET('玩法产出(新)'!$C$18,MATCH(X715,'玩法产出(新)'!$B$19:$B$25,0),1)*(1-V715)+OFFSET('玩法产出(新)'!$C$18,1+MATCH(X715,'玩法产出(新)'!$B$19:$B$25,0),1)*(V715))^AA715*(1+OFFSET('玩法产出(新)'!$C$18,MATCH(X715,'玩法产出(新)'!$B$19:$B$25,0),3)*(1-V715)+OFFSET('玩法产出(新)'!$C$18,1+MATCH(X715,'玩法产出(新)'!$B$19:$B$25,0),3)*(V715))^AB715*(1+OFFSET('玩法产出(新)'!$C$18,MATCH(X715,'玩法产出(新)'!$B$19:$B$25,0),4)*(1-V715)+OFFSET('玩法产出(新)'!$C$18,1+MATCH(X715,'玩法产出(新)'!$B$19:$B$25,0),4)*(V715))^AC715*(1+OFFSET('玩法产出(新)'!$C$18,MATCH(X715,'玩法产出(新)'!$B$19:$B$25,0),5)*(1+V715)+OFFSET('玩法产出(新)'!$C$18,1+MATCH(X715,'玩法产出(新)'!$B$19:$B$25,5),1)*(V715))^AD715*(1+OFFSET('玩法产出(新)'!$C$18,MATCH(X715,'玩法产出(新)'!$B$19:$B$25,0),6)*(1+V715)+OFFSET('玩法产出(新)'!$C$18,1+MATCH(X715,'玩法产出(新)'!$B$19:$B$25,0),6)*(V715))^AE715</f>
        <v>1645.72955606021</v>
      </c>
      <c r="U715" s="226">
        <f ca="1" t="shared" si="394"/>
        <v>0.106832631288599</v>
      </c>
      <c r="V715" s="226">
        <f ca="1">COUNTIF($X$124:$X715,X715)/(COUNTIF($X$124:$X$723,X715)+1)</f>
        <v>0.981443298969072</v>
      </c>
      <c r="W715" s="19">
        <v>30</v>
      </c>
      <c r="X715" s="19" t="s">
        <v>326</v>
      </c>
      <c r="Y715" s="19">
        <f t="shared" si="400"/>
        <v>60360</v>
      </c>
      <c r="Z715" s="19">
        <f ca="1" t="shared" si="376"/>
        <v>0</v>
      </c>
      <c r="AA715" s="282">
        <f ca="1" t="shared" si="377"/>
        <v>0</v>
      </c>
      <c r="AB715" s="282">
        <f ca="1" t="shared" si="378"/>
        <v>18</v>
      </c>
      <c r="AC715" s="282">
        <f ca="1" t="shared" si="379"/>
        <v>12</v>
      </c>
      <c r="AD715" s="282">
        <f ca="1" t="shared" si="380"/>
        <v>3.118425</v>
      </c>
      <c r="AE715" s="282">
        <f ca="1" t="shared" si="381"/>
        <v>0.77960625</v>
      </c>
      <c r="AF715" s="19" t="str">
        <f t="shared" si="382"/>
        <v>彩6</v>
      </c>
      <c r="AG715" s="19">
        <f>IFERROR(_xlfn.XLOOKUP(C715+1,[2]基因升级!$E$141:$E$500,[2]基因升级!$D$141:$D$500)-1,AG714)</f>
        <v>123</v>
      </c>
      <c r="AH715" s="19">
        <v>8</v>
      </c>
      <c r="AI715" s="19">
        <f t="shared" si="383"/>
        <v>10.5142500606751</v>
      </c>
      <c r="AJ715" s="19">
        <f t="shared" si="395"/>
        <v>0</v>
      </c>
      <c r="AK715" s="269">
        <v>2.0368</v>
      </c>
      <c r="AL715" s="287">
        <f t="shared" si="363"/>
        <v>25.3199999999996</v>
      </c>
      <c r="AM715" s="287">
        <f t="shared" si="364"/>
        <v>21.7199999999997</v>
      </c>
      <c r="AN715" s="287">
        <f t="shared" si="366"/>
        <v>18.1199999999998</v>
      </c>
      <c r="AO715" s="287">
        <f t="shared" si="401"/>
        <v>14.5199999999999</v>
      </c>
      <c r="AP715" s="287">
        <f t="shared" si="365"/>
        <v>10.9199999999999</v>
      </c>
      <c r="AQ715" s="19">
        <f t="shared" si="384"/>
        <v>5.54622202282211</v>
      </c>
      <c r="AR715" s="19">
        <f t="shared" si="385"/>
        <v>4.34726036199224</v>
      </c>
      <c r="AS715" s="19">
        <f t="shared" si="386"/>
        <v>3.40748577629653</v>
      </c>
      <c r="AT715" s="19">
        <f t="shared" si="387"/>
        <v>2.67086816726619</v>
      </c>
      <c r="AU715" s="19">
        <f t="shared" si="388"/>
        <v>2.09348981484789</v>
      </c>
      <c r="AV715" s="232">
        <f t="shared" si="368"/>
        <v>0.0399999999999991</v>
      </c>
      <c r="AW715" s="232">
        <f t="shared" si="369"/>
        <v>0.0399999999999991</v>
      </c>
      <c r="AX715" s="232">
        <f t="shared" si="370"/>
        <v>0.0399999999999991</v>
      </c>
      <c r="AY715" s="232">
        <f t="shared" si="371"/>
        <v>0.0399999999999991</v>
      </c>
      <c r="AZ715" s="232">
        <f t="shared" si="372"/>
        <v>0.0399999999999991</v>
      </c>
    </row>
    <row r="716" spans="1:52">
      <c r="A716" s="269"/>
      <c r="C716" s="19">
        <v>593</v>
      </c>
      <c r="D716" s="86">
        <f ca="1" t="shared" si="396"/>
        <v>322.863280467537</v>
      </c>
      <c r="E716" s="251">
        <f ca="1" t="shared" si="373"/>
        <v>0.250123057829296</v>
      </c>
      <c r="F716" s="269">
        <f ca="1" t="shared" si="389"/>
        <v>834.798865462237</v>
      </c>
      <c r="G716" s="283">
        <f ca="1" t="shared" si="390"/>
        <v>208.802444901842</v>
      </c>
      <c r="H716" s="279">
        <f ca="1" t="shared" si="391"/>
        <v>0.143216850701634</v>
      </c>
      <c r="I716" s="269">
        <f ca="1">SUM($J$125:J716)/SUM($H$125:H716)</f>
        <v>0.442244415461522</v>
      </c>
      <c r="J716" s="284">
        <f t="shared" si="397"/>
        <v>0.0430125584446728</v>
      </c>
      <c r="K716" s="19">
        <f t="shared" si="399"/>
        <v>60200</v>
      </c>
      <c r="L716" s="269">
        <f t="shared" si="392"/>
        <v>4.00999999999994</v>
      </c>
      <c r="M716" s="226">
        <f ca="1" t="shared" si="393"/>
        <v>2500.608</v>
      </c>
      <c r="N716" s="280">
        <f ca="1" t="shared" si="398"/>
        <v>0.100204292256919</v>
      </c>
      <c r="O716" s="226">
        <f t="shared" si="403"/>
        <v>844.8</v>
      </c>
      <c r="P716" s="19">
        <f ca="1" t="shared" si="367"/>
        <v>20.6</v>
      </c>
      <c r="Q716" s="226">
        <f ca="1" t="shared" si="402"/>
        <v>2.96</v>
      </c>
      <c r="R716" s="269">
        <f ca="1" t="shared" si="374"/>
        <v>1.1662929004965</v>
      </c>
      <c r="S716" s="266">
        <f ca="1" t="shared" si="375"/>
        <v>109.56725209142</v>
      </c>
      <c r="T716" s="226">
        <f ca="1">(1+OFFSET('玩法产出(新)'!$C$18,MATCH(X716,'玩法产出(新)'!$B$19:$B$25,0),1)*(1-V716)+OFFSET('玩法产出(新)'!$C$18,1+MATCH(X716,'玩法产出(新)'!$B$19:$B$25,0),1)*(V716))^AA716*(1+OFFSET('玩法产出(新)'!$C$18,MATCH(X716,'玩法产出(新)'!$B$19:$B$25,0),3)*(1-V716)+OFFSET('玩法产出(新)'!$C$18,1+MATCH(X716,'玩法产出(新)'!$B$19:$B$25,0),3)*(V716))^AB716*(1+OFFSET('玩法产出(新)'!$C$18,MATCH(X716,'玩法产出(新)'!$B$19:$B$25,0),4)*(1-V716)+OFFSET('玩法产出(新)'!$C$18,1+MATCH(X716,'玩法产出(新)'!$B$19:$B$25,0),4)*(V716))^AC716*(1+OFFSET('玩法产出(新)'!$C$18,MATCH(X716,'玩法产出(新)'!$B$19:$B$25,0),5)*(1+V716)+OFFSET('玩法产出(新)'!$C$18,1+MATCH(X716,'玩法产出(新)'!$B$19:$B$25,5),1)*(V716))^AD716*(1+OFFSET('玩法产出(新)'!$C$18,MATCH(X716,'玩法产出(新)'!$B$19:$B$25,0),6)*(1+V716)+OFFSET('玩法产出(新)'!$C$18,1+MATCH(X716,'玩法产出(新)'!$B$19:$B$25,0),6)*(V716))^AE716</f>
        <v>1657.67648579912</v>
      </c>
      <c r="U716" s="226">
        <f ca="1" t="shared" si="394"/>
        <v>0.106906207127704</v>
      </c>
      <c r="V716" s="226">
        <f ca="1">COUNTIF($X$124:$X716,X716)/(COUNTIF($X$124:$X$723,X716)+1)</f>
        <v>0.983505154639175</v>
      </c>
      <c r="W716" s="19">
        <v>30</v>
      </c>
      <c r="X716" s="19" t="s">
        <v>326</v>
      </c>
      <c r="Y716" s="19">
        <f t="shared" si="400"/>
        <v>60460</v>
      </c>
      <c r="Z716" s="19">
        <f ca="1" t="shared" si="376"/>
        <v>0</v>
      </c>
      <c r="AA716" s="282">
        <f ca="1" t="shared" si="377"/>
        <v>0</v>
      </c>
      <c r="AB716" s="282">
        <f ca="1" t="shared" si="378"/>
        <v>18</v>
      </c>
      <c r="AC716" s="282">
        <f ca="1" t="shared" si="379"/>
        <v>12</v>
      </c>
      <c r="AD716" s="282">
        <f ca="1" t="shared" si="380"/>
        <v>3.1236375</v>
      </c>
      <c r="AE716" s="282">
        <f ca="1" t="shared" si="381"/>
        <v>0.780909375</v>
      </c>
      <c r="AF716" s="19" t="str">
        <f t="shared" si="382"/>
        <v>彩6</v>
      </c>
      <c r="AG716" s="19">
        <f>IFERROR(_xlfn.XLOOKUP(C716+1,[2]基因升级!$E$141:$E$500,[2]基因升级!$D$141:$D$500)-1,AG715)</f>
        <v>123</v>
      </c>
      <c r="AH716" s="19">
        <v>8</v>
      </c>
      <c r="AI716" s="19">
        <f t="shared" si="383"/>
        <v>10.5142500606751</v>
      </c>
      <c r="AJ716" s="19">
        <f t="shared" si="395"/>
        <v>0</v>
      </c>
      <c r="AK716" s="269">
        <v>2.0368</v>
      </c>
      <c r="AL716" s="287">
        <f t="shared" si="363"/>
        <v>25.3599999999996</v>
      </c>
      <c r="AM716" s="287">
        <f t="shared" si="364"/>
        <v>21.7599999999997</v>
      </c>
      <c r="AN716" s="287">
        <f t="shared" si="366"/>
        <v>18.1599999999998</v>
      </c>
      <c r="AO716" s="287">
        <f t="shared" si="401"/>
        <v>14.5599999999999</v>
      </c>
      <c r="AP716" s="287">
        <f t="shared" si="365"/>
        <v>10.9599999999999</v>
      </c>
      <c r="AQ716" s="19">
        <f t="shared" si="384"/>
        <v>5.56125234772559</v>
      </c>
      <c r="AR716" s="19">
        <f t="shared" si="385"/>
        <v>4.35904148712785</v>
      </c>
      <c r="AS716" s="19">
        <f t="shared" si="386"/>
        <v>3.41672010159237</v>
      </c>
      <c r="AT716" s="19">
        <f t="shared" si="387"/>
        <v>2.67810625044482</v>
      </c>
      <c r="AU716" s="19">
        <f t="shared" si="388"/>
        <v>2.09916319610991</v>
      </c>
      <c r="AV716" s="232">
        <f t="shared" si="368"/>
        <v>0.0399999999999991</v>
      </c>
      <c r="AW716" s="232">
        <f t="shared" si="369"/>
        <v>0.0399999999999991</v>
      </c>
      <c r="AX716" s="232">
        <f t="shared" si="370"/>
        <v>0.0399999999999991</v>
      </c>
      <c r="AY716" s="232">
        <f t="shared" si="371"/>
        <v>0.0399999999999991</v>
      </c>
      <c r="AZ716" s="232">
        <f t="shared" si="372"/>
        <v>0.0399999999999991</v>
      </c>
    </row>
    <row r="717" spans="1:52">
      <c r="A717" s="269"/>
      <c r="C717" s="19">
        <v>594</v>
      </c>
      <c r="D717" s="86">
        <f ca="1" t="shared" si="396"/>
        <v>323.112738507658</v>
      </c>
      <c r="E717" s="251">
        <f ca="1" t="shared" si="373"/>
        <v>0.249458040121353</v>
      </c>
      <c r="F717" s="269">
        <f ca="1" t="shared" si="389"/>
        <v>837.595465381959</v>
      </c>
      <c r="G717" s="283">
        <f ca="1" t="shared" si="390"/>
        <v>208.944923208716</v>
      </c>
      <c r="H717" s="279">
        <f ca="1" t="shared" si="391"/>
        <v>0.142478306874352</v>
      </c>
      <c r="I717" s="269">
        <f ca="1">SUM($J$125:J717)/SUM($H$125:H717)</f>
        <v>0.442143576299092</v>
      </c>
      <c r="J717" s="284">
        <f t="shared" si="397"/>
        <v>0.0429487961134214</v>
      </c>
      <c r="K717" s="19">
        <f t="shared" si="399"/>
        <v>60300</v>
      </c>
      <c r="L717" s="269">
        <f t="shared" si="392"/>
        <v>4.01499999999994</v>
      </c>
      <c r="M717" s="226">
        <f ca="1" t="shared" si="393"/>
        <v>2517.504</v>
      </c>
      <c r="N717" s="280">
        <f ca="1" t="shared" si="398"/>
        <v>0.0995295107609167</v>
      </c>
      <c r="O717" s="226">
        <f t="shared" si="403"/>
        <v>844.8</v>
      </c>
      <c r="P717" s="19">
        <f ca="1" t="shared" si="367"/>
        <v>20.8</v>
      </c>
      <c r="Q717" s="226">
        <f ca="1" t="shared" si="402"/>
        <v>2.98</v>
      </c>
      <c r="R717" s="269">
        <f ca="1" t="shared" si="374"/>
        <v>1.16743165045145</v>
      </c>
      <c r="S717" s="266">
        <f ca="1" t="shared" si="375"/>
        <v>109.674231824668</v>
      </c>
      <c r="T717" s="226">
        <f ca="1">(1+OFFSET('玩法产出(新)'!$C$18,MATCH(X717,'玩法产出(新)'!$B$19:$B$25,0),1)*(1-V717)+OFFSET('玩法产出(新)'!$C$18,1+MATCH(X717,'玩法产出(新)'!$B$19:$B$25,0),1)*(V717))^AA717*(1+OFFSET('玩法产出(新)'!$C$18,MATCH(X717,'玩法产出(新)'!$B$19:$B$25,0),3)*(1-V717)+OFFSET('玩法产出(新)'!$C$18,1+MATCH(X717,'玩法产出(新)'!$B$19:$B$25,0),3)*(V717))^AB717*(1+OFFSET('玩法产出(新)'!$C$18,MATCH(X717,'玩法产出(新)'!$B$19:$B$25,0),4)*(1-V717)+OFFSET('玩法产出(新)'!$C$18,1+MATCH(X717,'玩法产出(新)'!$B$19:$B$25,0),4)*(V717))^AC717*(1+OFFSET('玩法产出(新)'!$C$18,MATCH(X717,'玩法产出(新)'!$B$19:$B$25,0),5)*(1+V717)+OFFSET('玩法产出(新)'!$C$18,1+MATCH(X717,'玩法产出(新)'!$B$19:$B$25,5),1)*(V717))^AD717*(1+OFFSET('玩法产出(新)'!$C$18,MATCH(X717,'玩法产出(新)'!$B$19:$B$25,0),6)*(1+V717)+OFFSET('玩法产出(新)'!$C$18,1+MATCH(X717,'玩法产出(新)'!$B$19:$B$25,0),6)*(V717))^AE717</f>
        <v>1669.71844879412</v>
      </c>
      <c r="U717" s="226">
        <f ca="1" t="shared" si="394"/>
        <v>0.106979733247015</v>
      </c>
      <c r="V717" s="226">
        <f ca="1">COUNTIF($X$124:$X717,X717)/(COUNTIF($X$124:$X$723,X717)+1)</f>
        <v>0.985567010309278</v>
      </c>
      <c r="W717" s="19">
        <v>30</v>
      </c>
      <c r="X717" s="19" t="s">
        <v>326</v>
      </c>
      <c r="Y717" s="19">
        <f t="shared" si="400"/>
        <v>60560</v>
      </c>
      <c r="Z717" s="19">
        <f ca="1" t="shared" si="376"/>
        <v>0</v>
      </c>
      <c r="AA717" s="282">
        <f ca="1" t="shared" si="377"/>
        <v>0</v>
      </c>
      <c r="AB717" s="282">
        <f ca="1" t="shared" si="378"/>
        <v>18</v>
      </c>
      <c r="AC717" s="282">
        <f ca="1" t="shared" si="379"/>
        <v>12</v>
      </c>
      <c r="AD717" s="282">
        <f ca="1" t="shared" si="380"/>
        <v>3.12885</v>
      </c>
      <c r="AE717" s="282">
        <f ca="1" t="shared" si="381"/>
        <v>0.7822125</v>
      </c>
      <c r="AF717" s="19" t="str">
        <f t="shared" si="382"/>
        <v>彩6</v>
      </c>
      <c r="AG717" s="19">
        <f>IFERROR(_xlfn.XLOOKUP(C717+1,[2]基因升级!$E$141:$E$500,[2]基因升级!$D$141:$D$500)-1,AG716)</f>
        <v>123</v>
      </c>
      <c r="AH717" s="19">
        <v>8</v>
      </c>
      <c r="AI717" s="19">
        <f t="shared" si="383"/>
        <v>10.5142500606751</v>
      </c>
      <c r="AJ717" s="19">
        <f t="shared" si="395"/>
        <v>0</v>
      </c>
      <c r="AK717" s="269">
        <v>2.0368</v>
      </c>
      <c r="AL717" s="287">
        <f t="shared" si="363"/>
        <v>25.3999999999996</v>
      </c>
      <c r="AM717" s="287">
        <f t="shared" si="364"/>
        <v>21.7999999999997</v>
      </c>
      <c r="AN717" s="287">
        <f t="shared" si="366"/>
        <v>18.1999999999998</v>
      </c>
      <c r="AO717" s="287">
        <f t="shared" si="401"/>
        <v>14.5999999999999</v>
      </c>
      <c r="AP717" s="287">
        <f t="shared" si="365"/>
        <v>10.9999999999999</v>
      </c>
      <c r="AQ717" s="19">
        <f t="shared" si="384"/>
        <v>5.57632340498089</v>
      </c>
      <c r="AR717" s="19">
        <f t="shared" si="385"/>
        <v>4.37085453924688</v>
      </c>
      <c r="AS717" s="19">
        <f t="shared" si="386"/>
        <v>3.42597945201504</v>
      </c>
      <c r="AT717" s="19">
        <f t="shared" si="387"/>
        <v>2.68536394891138</v>
      </c>
      <c r="AU717" s="19">
        <f t="shared" si="388"/>
        <v>2.10485195229983</v>
      </c>
      <c r="AV717" s="232">
        <f t="shared" si="368"/>
        <v>0.0399999999999991</v>
      </c>
      <c r="AW717" s="232">
        <f t="shared" si="369"/>
        <v>0.0399999999999991</v>
      </c>
      <c r="AX717" s="232">
        <f t="shared" si="370"/>
        <v>0.0399999999999991</v>
      </c>
      <c r="AY717" s="232">
        <f t="shared" si="371"/>
        <v>0.0399999999999991</v>
      </c>
      <c r="AZ717" s="232">
        <f t="shared" si="372"/>
        <v>0.0399999999999991</v>
      </c>
    </row>
    <row r="718" spans="1:52">
      <c r="A718" s="269"/>
      <c r="C718" s="19">
        <v>595</v>
      </c>
      <c r="D718" s="86">
        <f ca="1" t="shared" si="396"/>
        <v>323.361540700045</v>
      </c>
      <c r="E718" s="251">
        <f ca="1" t="shared" si="373"/>
        <v>0.248802192386796</v>
      </c>
      <c r="F718" s="269">
        <f ca="1" t="shared" si="389"/>
        <v>840.37311000195</v>
      </c>
      <c r="G718" s="283">
        <f ca="1" t="shared" si="390"/>
        <v>209.086672191395</v>
      </c>
      <c r="H718" s="279">
        <f ca="1" t="shared" si="391"/>
        <v>0.141748982679474</v>
      </c>
      <c r="I718" s="269">
        <f ca="1">SUM($J$125:J718)/SUM($H$125:H718)</f>
        <v>0.442044181518994</v>
      </c>
      <c r="J718" s="284">
        <f t="shared" si="397"/>
        <v>0.0428852261356809</v>
      </c>
      <c r="K718" s="19">
        <f t="shared" si="399"/>
        <v>60400</v>
      </c>
      <c r="L718" s="269">
        <f t="shared" si="392"/>
        <v>4.01999999999994</v>
      </c>
      <c r="M718" s="226">
        <f ca="1" t="shared" si="393"/>
        <v>2534.4</v>
      </c>
      <c r="N718" s="280">
        <f ca="1" t="shared" si="398"/>
        <v>0.0988637565437926</v>
      </c>
      <c r="O718" s="226">
        <f t="shared" si="403"/>
        <v>844.8</v>
      </c>
      <c r="P718" s="19">
        <f ca="1" t="shared" si="367"/>
        <v>21</v>
      </c>
      <c r="Q718" s="226">
        <f ca="1" t="shared" si="402"/>
        <v>3</v>
      </c>
      <c r="R718" s="269">
        <f ca="1" t="shared" si="374"/>
        <v>1.16857118252946</v>
      </c>
      <c r="S718" s="266">
        <f ca="1" t="shared" si="375"/>
        <v>109.781285034375</v>
      </c>
      <c r="T718" s="226">
        <f ca="1">(1+OFFSET('玩法产出(新)'!$C$18,MATCH(X718,'玩法产出(新)'!$B$19:$B$25,0),1)*(1-V718)+OFFSET('玩法产出(新)'!$C$18,1+MATCH(X718,'玩法产出(新)'!$B$19:$B$25,0),1)*(V718))^AA718*(1+OFFSET('玩法产出(新)'!$C$18,MATCH(X718,'玩法产出(新)'!$B$19:$B$25,0),3)*(1-V718)+OFFSET('玩法产出(新)'!$C$18,1+MATCH(X718,'玩法产出(新)'!$B$19:$B$25,0),3)*(V718))^AB718*(1+OFFSET('玩法产出(新)'!$C$18,MATCH(X718,'玩法产出(新)'!$B$19:$B$25,0),4)*(1-V718)+OFFSET('玩法产出(新)'!$C$18,1+MATCH(X718,'玩法产出(新)'!$B$19:$B$25,0),4)*(V718))^AC718*(1+OFFSET('玩法产出(新)'!$C$18,MATCH(X718,'玩法产出(新)'!$B$19:$B$25,0),5)*(1+V718)+OFFSET('玩法产出(新)'!$C$18,1+MATCH(X718,'玩法产出(新)'!$B$19:$B$25,5),1)*(V718))^AD718*(1+OFFSET('玩法产出(新)'!$C$18,MATCH(X718,'玩法产出(新)'!$B$19:$B$25,0),6)*(1+V718)+OFFSET('玩法产出(新)'!$C$18,1+MATCH(X718,'玩法产出(新)'!$B$19:$B$25,0),6)*(V718))^AE718</f>
        <v>1681.85624999568</v>
      </c>
      <c r="U718" s="226">
        <f ca="1" t="shared" si="394"/>
        <v>0.107053209707323</v>
      </c>
      <c r="V718" s="226">
        <f ca="1">COUNTIF($X$124:$X718,X718)/(COUNTIF($X$124:$X$723,X718)+1)</f>
        <v>0.987628865979381</v>
      </c>
      <c r="W718" s="19">
        <v>30</v>
      </c>
      <c r="X718" s="19" t="s">
        <v>326</v>
      </c>
      <c r="Y718" s="19">
        <f t="shared" si="400"/>
        <v>60660</v>
      </c>
      <c r="Z718" s="19">
        <f ca="1" t="shared" si="376"/>
        <v>0</v>
      </c>
      <c r="AA718" s="282">
        <f ca="1" t="shared" si="377"/>
        <v>0</v>
      </c>
      <c r="AB718" s="282">
        <f ca="1" t="shared" si="378"/>
        <v>18</v>
      </c>
      <c r="AC718" s="282">
        <f ca="1" t="shared" si="379"/>
        <v>12</v>
      </c>
      <c r="AD718" s="282">
        <f ca="1" t="shared" si="380"/>
        <v>3.1340625</v>
      </c>
      <c r="AE718" s="282">
        <f ca="1" t="shared" si="381"/>
        <v>0.783515625</v>
      </c>
      <c r="AF718" s="19" t="str">
        <f t="shared" si="382"/>
        <v>彩6</v>
      </c>
      <c r="AG718" s="19">
        <f>IFERROR(_xlfn.XLOOKUP(C718+1,[2]基因升级!$E$141:$E$500,[2]基因升级!$D$141:$D$500)-1,AG717)</f>
        <v>123</v>
      </c>
      <c r="AH718" s="19">
        <v>8</v>
      </c>
      <c r="AI718" s="19">
        <f t="shared" si="383"/>
        <v>10.5142500606751</v>
      </c>
      <c r="AJ718" s="19">
        <f t="shared" si="395"/>
        <v>0</v>
      </c>
      <c r="AK718" s="269">
        <v>2.0368</v>
      </c>
      <c r="AL718" s="287">
        <f t="shared" si="363"/>
        <v>25.4399999999996</v>
      </c>
      <c r="AM718" s="287">
        <f t="shared" si="364"/>
        <v>21.8399999999997</v>
      </c>
      <c r="AN718" s="287">
        <f t="shared" si="366"/>
        <v>18.2399999999998</v>
      </c>
      <c r="AO718" s="287">
        <f t="shared" si="401"/>
        <v>14.6399999999999</v>
      </c>
      <c r="AP718" s="287">
        <f t="shared" si="365"/>
        <v>11.0399999999999</v>
      </c>
      <c r="AQ718" s="19">
        <f t="shared" si="384"/>
        <v>5.59143530497315</v>
      </c>
      <c r="AR718" s="19">
        <f t="shared" si="385"/>
        <v>4.38269960487181</v>
      </c>
      <c r="AS718" s="19">
        <f t="shared" si="386"/>
        <v>3.43526389538289</v>
      </c>
      <c r="AT718" s="19">
        <f t="shared" si="387"/>
        <v>2.69264131582352</v>
      </c>
      <c r="AU718" s="19">
        <f t="shared" si="388"/>
        <v>2.11055612508386</v>
      </c>
      <c r="AV718" s="232">
        <f t="shared" si="368"/>
        <v>0.0399999999999991</v>
      </c>
      <c r="AW718" s="232">
        <f t="shared" si="369"/>
        <v>0.0399999999999991</v>
      </c>
      <c r="AX718" s="232">
        <f t="shared" si="370"/>
        <v>0.0399999999999991</v>
      </c>
      <c r="AY718" s="232">
        <f t="shared" si="371"/>
        <v>0.0399999999999991</v>
      </c>
      <c r="AZ718" s="232">
        <f t="shared" si="372"/>
        <v>0.0399999999999991</v>
      </c>
    </row>
    <row r="719" spans="1:52">
      <c r="A719" s="269"/>
      <c r="C719" s="19">
        <v>596</v>
      </c>
      <c r="D719" s="86">
        <f ca="1" t="shared" si="396"/>
        <v>323.609696033899</v>
      </c>
      <c r="E719" s="251">
        <f ca="1" t="shared" si="373"/>
        <v>0.248155333854209</v>
      </c>
      <c r="F719" s="269">
        <f ca="1" t="shared" si="389"/>
        <v>843.131991720964</v>
      </c>
      <c r="G719" s="283">
        <f ca="1" t="shared" si="390"/>
        <v>209.22770088868</v>
      </c>
      <c r="H719" s="279">
        <f ca="1" t="shared" si="391"/>
        <v>0.141028697284497</v>
      </c>
      <c r="I719" s="269">
        <f ca="1">SUM($J$125:J719)/SUM($H$125:H719)</f>
        <v>0.441946207856961</v>
      </c>
      <c r="J719" s="284">
        <f t="shared" si="397"/>
        <v>0.0428218476274367</v>
      </c>
      <c r="K719" s="19">
        <f t="shared" si="399"/>
        <v>60500</v>
      </c>
      <c r="L719" s="269">
        <f t="shared" si="392"/>
        <v>4.02499999999994</v>
      </c>
      <c r="M719" s="226">
        <f ca="1" t="shared" si="393"/>
        <v>2551.296</v>
      </c>
      <c r="N719" s="280">
        <f ca="1" t="shared" si="398"/>
        <v>0.0982068496570747</v>
      </c>
      <c r="O719" s="226">
        <f t="shared" si="403"/>
        <v>844.8</v>
      </c>
      <c r="P719" s="19">
        <f ca="1" t="shared" si="367"/>
        <v>21.2</v>
      </c>
      <c r="Q719" s="226">
        <f ca="1" t="shared" si="402"/>
        <v>3.02</v>
      </c>
      <c r="R719" s="269">
        <f ca="1" t="shared" si="374"/>
        <v>1.16971149620257</v>
      </c>
      <c r="S719" s="266">
        <f ca="1" t="shared" si="375"/>
        <v>109.888411670945</v>
      </c>
      <c r="T719" s="226">
        <f ca="1">(1+OFFSET('玩法产出(新)'!$C$18,MATCH(X719,'玩法产出(新)'!$B$19:$B$25,0),1)*(1-V719)+OFFSET('玩法产出(新)'!$C$18,1+MATCH(X719,'玩法产出(新)'!$B$19:$B$25,0),1)*(V719))^AA719*(1+OFFSET('玩法产出(新)'!$C$18,MATCH(X719,'玩法产出(新)'!$B$19:$B$25,0),3)*(1-V719)+OFFSET('玩法产出(新)'!$C$18,1+MATCH(X719,'玩法产出(新)'!$B$19:$B$25,0),3)*(V719))^AB719*(1+OFFSET('玩法产出(新)'!$C$18,MATCH(X719,'玩法产出(新)'!$B$19:$B$25,0),4)*(1-V719)+OFFSET('玩法产出(新)'!$C$18,1+MATCH(X719,'玩法产出(新)'!$B$19:$B$25,0),4)*(V719))^AC719*(1+OFFSET('玩法产出(新)'!$C$18,MATCH(X719,'玩法产出(新)'!$B$19:$B$25,0),5)*(1+V719)+OFFSET('玩法产出(新)'!$C$18,1+MATCH(X719,'玩法产出(新)'!$B$19:$B$25,5),1)*(V719))^AD719*(1+OFFSET('玩法产出(新)'!$C$18,MATCH(X719,'玩法产出(新)'!$B$19:$B$25,0),6)*(1+V719)+OFFSET('玩法产出(新)'!$C$18,1+MATCH(X719,'玩法产出(新)'!$B$19:$B$25,0),6)*(V719))^AE719</f>
        <v>1694.09070152294</v>
      </c>
      <c r="U719" s="226">
        <f ca="1" t="shared" si="394"/>
        <v>0.107126636569697</v>
      </c>
      <c r="V719" s="226">
        <f ca="1">COUNTIF($X$124:$X719,X719)/(COUNTIF($X$124:$X$723,X719)+1)</f>
        <v>0.989690721649485</v>
      </c>
      <c r="W719" s="19">
        <v>30</v>
      </c>
      <c r="X719" s="19" t="s">
        <v>326</v>
      </c>
      <c r="Y719" s="19">
        <f t="shared" si="400"/>
        <v>60760</v>
      </c>
      <c r="Z719" s="19">
        <f ca="1" t="shared" si="376"/>
        <v>0</v>
      </c>
      <c r="AA719" s="282">
        <f ca="1" t="shared" si="377"/>
        <v>0</v>
      </c>
      <c r="AB719" s="282">
        <f ca="1" t="shared" si="378"/>
        <v>18</v>
      </c>
      <c r="AC719" s="282">
        <f ca="1" t="shared" si="379"/>
        <v>12</v>
      </c>
      <c r="AD719" s="282">
        <f ca="1" t="shared" si="380"/>
        <v>3.139275</v>
      </c>
      <c r="AE719" s="282">
        <f ca="1" t="shared" si="381"/>
        <v>0.78481875</v>
      </c>
      <c r="AF719" s="19" t="str">
        <f t="shared" si="382"/>
        <v>彩6</v>
      </c>
      <c r="AG719" s="19">
        <f>IFERROR(_xlfn.XLOOKUP(C719+1,[2]基因升级!$E$141:$E$500,[2]基因升级!$D$141:$D$500)-1,AG718)</f>
        <v>123</v>
      </c>
      <c r="AH719" s="19">
        <v>8</v>
      </c>
      <c r="AI719" s="19">
        <f t="shared" si="383"/>
        <v>10.5142500606751</v>
      </c>
      <c r="AJ719" s="19">
        <f t="shared" si="395"/>
        <v>0</v>
      </c>
      <c r="AK719" s="269">
        <v>2.0368</v>
      </c>
      <c r="AL719" s="287">
        <f t="shared" si="363"/>
        <v>25.4799999999996</v>
      </c>
      <c r="AM719" s="287">
        <f t="shared" si="364"/>
        <v>21.8799999999997</v>
      </c>
      <c r="AN719" s="287">
        <f t="shared" si="366"/>
        <v>18.2799999999998</v>
      </c>
      <c r="AO719" s="287">
        <f t="shared" si="401"/>
        <v>14.6799999999999</v>
      </c>
      <c r="AP719" s="287">
        <f t="shared" si="365"/>
        <v>11.0799999999999</v>
      </c>
      <c r="AQ719" s="19">
        <f t="shared" si="384"/>
        <v>5.60658815838665</v>
      </c>
      <c r="AR719" s="19">
        <f t="shared" si="385"/>
        <v>4.3945767707596</v>
      </c>
      <c r="AS719" s="19">
        <f t="shared" si="386"/>
        <v>3.44457349969811</v>
      </c>
      <c r="AT719" s="19">
        <f t="shared" si="387"/>
        <v>2.69993840448294</v>
      </c>
      <c r="AU719" s="19">
        <f t="shared" si="388"/>
        <v>2.11627575624116</v>
      </c>
      <c r="AV719" s="232">
        <f t="shared" si="368"/>
        <v>0.0399999999999991</v>
      </c>
      <c r="AW719" s="232">
        <f t="shared" si="369"/>
        <v>0.0399999999999991</v>
      </c>
      <c r="AX719" s="232">
        <f t="shared" si="370"/>
        <v>0.0399999999999991</v>
      </c>
      <c r="AY719" s="232">
        <f t="shared" si="371"/>
        <v>0.0399999999999991</v>
      </c>
      <c r="AZ719" s="232">
        <f t="shared" si="372"/>
        <v>0.0399999999999991</v>
      </c>
    </row>
    <row r="720" spans="1:52">
      <c r="A720" s="269"/>
      <c r="C720" s="19">
        <v>597</v>
      </c>
      <c r="D720" s="86">
        <f ca="1" t="shared" si="396"/>
        <v>323.857213322408</v>
      </c>
      <c r="E720" s="251">
        <f ca="1" t="shared" si="373"/>
        <v>0.247517288508582</v>
      </c>
      <c r="F720" s="269">
        <f ca="1" t="shared" si="389"/>
        <v>845.87230017282</v>
      </c>
      <c r="G720" s="283">
        <f ca="1" t="shared" si="390"/>
        <v>209.368018163294</v>
      </c>
      <c r="H720" s="279">
        <f ca="1" t="shared" si="391"/>
        <v>0.140317274613636</v>
      </c>
      <c r="I720" s="269">
        <f ca="1">SUM($J$125:J720)/SUM($H$125:H720)</f>
        <v>0.441849632549248</v>
      </c>
      <c r="J720" s="284">
        <f t="shared" si="397"/>
        <v>0.0427586597101168</v>
      </c>
      <c r="K720" s="19">
        <f t="shared" si="399"/>
        <v>60600</v>
      </c>
      <c r="L720" s="269">
        <f t="shared" si="392"/>
        <v>4.02999999999994</v>
      </c>
      <c r="M720" s="226">
        <f ca="1" t="shared" si="393"/>
        <v>2568.192</v>
      </c>
      <c r="N720" s="280">
        <f ca="1" t="shared" si="398"/>
        <v>0.0975586149035479</v>
      </c>
      <c r="O720" s="226">
        <f t="shared" si="403"/>
        <v>844.8</v>
      </c>
      <c r="P720" s="19">
        <f ca="1" t="shared" si="367"/>
        <v>21.4</v>
      </c>
      <c r="Q720" s="226">
        <f ca="1" t="shared" si="402"/>
        <v>3.04</v>
      </c>
      <c r="R720" s="269">
        <f ca="1" t="shared" si="374"/>
        <v>1.17085259094349</v>
      </c>
      <c r="S720" s="266">
        <f ca="1" t="shared" si="375"/>
        <v>109.995611684839</v>
      </c>
      <c r="T720" s="226">
        <f ca="1">(1+OFFSET('玩法产出(新)'!$C$18,MATCH(X720,'玩法产出(新)'!$B$19:$B$25,0),1)*(1-V720)+OFFSET('玩法产出(新)'!$C$18,1+MATCH(X720,'玩法产出(新)'!$B$19:$B$25,0),1)*(V720))^AA720*(1+OFFSET('玩法产出(新)'!$C$18,MATCH(X720,'玩法产出(新)'!$B$19:$B$25,0),3)*(1-V720)+OFFSET('玩法产出(新)'!$C$18,1+MATCH(X720,'玩法产出(新)'!$B$19:$B$25,0),3)*(V720))^AB720*(1+OFFSET('玩法产出(新)'!$C$18,MATCH(X720,'玩法产出(新)'!$B$19:$B$25,0),4)*(1-V720)+OFFSET('玩法产出(新)'!$C$18,1+MATCH(X720,'玩法产出(新)'!$B$19:$B$25,0),4)*(V720))^AC720*(1+OFFSET('玩法产出(新)'!$C$18,MATCH(X720,'玩法产出(新)'!$B$19:$B$25,0),5)*(1+V720)+OFFSET('玩法产出(新)'!$C$18,1+MATCH(X720,'玩法产出(新)'!$B$19:$B$25,5),1)*(V720))^AD720*(1+OFFSET('玩法产出(新)'!$C$18,MATCH(X720,'玩法产出(新)'!$B$19:$B$25,0),6)*(1+V720)+OFFSET('玩法产出(新)'!$C$18,1+MATCH(X720,'玩法产出(新)'!$B$19:$B$25,0),6)*(V720))^AE720</f>
        <v>1706.42262273031</v>
      </c>
      <c r="U720" s="226">
        <f ca="1" t="shared" si="394"/>
        <v>0.107200013894917</v>
      </c>
      <c r="V720" s="226">
        <f ca="1">COUNTIF($X$124:$X720,X720)/(COUNTIF($X$124:$X$723,X720)+1)</f>
        <v>0.991752577319588</v>
      </c>
      <c r="W720" s="19">
        <v>30</v>
      </c>
      <c r="X720" s="19" t="s">
        <v>326</v>
      </c>
      <c r="Y720" s="19">
        <f t="shared" si="400"/>
        <v>60860</v>
      </c>
      <c r="Z720" s="19">
        <f ca="1" t="shared" si="376"/>
        <v>0</v>
      </c>
      <c r="AA720" s="282">
        <f ca="1" t="shared" si="377"/>
        <v>0</v>
      </c>
      <c r="AB720" s="282">
        <f ca="1" t="shared" si="378"/>
        <v>18</v>
      </c>
      <c r="AC720" s="282">
        <f ca="1" t="shared" si="379"/>
        <v>12</v>
      </c>
      <c r="AD720" s="282">
        <f ca="1" t="shared" si="380"/>
        <v>3.1444875</v>
      </c>
      <c r="AE720" s="282">
        <f ca="1" t="shared" si="381"/>
        <v>0.786121875</v>
      </c>
      <c r="AF720" s="19" t="str">
        <f t="shared" si="382"/>
        <v>彩6</v>
      </c>
      <c r="AG720" s="19">
        <f>IFERROR(_xlfn.XLOOKUP(C720+1,[2]基因升级!$E$141:$E$500,[2]基因升级!$D$141:$D$500)-1,AG719)</f>
        <v>123</v>
      </c>
      <c r="AH720" s="19">
        <v>8</v>
      </c>
      <c r="AI720" s="19">
        <f t="shared" si="383"/>
        <v>10.5142500606751</v>
      </c>
      <c r="AJ720" s="19">
        <f t="shared" si="395"/>
        <v>0</v>
      </c>
      <c r="AK720" s="269">
        <v>2.0368</v>
      </c>
      <c r="AL720" s="287">
        <f>AL719+0.04</f>
        <v>25.5199999999996</v>
      </c>
      <c r="AM720" s="287">
        <f t="shared" si="364"/>
        <v>21.9199999999997</v>
      </c>
      <c r="AN720" s="287">
        <f t="shared" si="366"/>
        <v>18.3199999999998</v>
      </c>
      <c r="AO720" s="287">
        <f t="shared" si="401"/>
        <v>14.7199999999999</v>
      </c>
      <c r="AP720" s="287">
        <f t="shared" si="365"/>
        <v>11.1199999999999</v>
      </c>
      <c r="AQ720" s="19">
        <f t="shared" si="384"/>
        <v>5.62178207620563</v>
      </c>
      <c r="AR720" s="19">
        <f t="shared" si="385"/>
        <v>4.40648612390234</v>
      </c>
      <c r="AS720" s="19">
        <f t="shared" si="386"/>
        <v>3.45390833314714</v>
      </c>
      <c r="AT720" s="19">
        <f t="shared" si="387"/>
        <v>2.70725526833581</v>
      </c>
      <c r="AU720" s="19">
        <f t="shared" si="388"/>
        <v>2.1220108876641</v>
      </c>
      <c r="AV720" s="232">
        <f t="shared" si="368"/>
        <v>0.0399999999999991</v>
      </c>
      <c r="AW720" s="232">
        <f t="shared" si="369"/>
        <v>0.0399999999999991</v>
      </c>
      <c r="AX720" s="232">
        <f t="shared" si="370"/>
        <v>0.0399999999999991</v>
      </c>
      <c r="AY720" s="232">
        <f t="shared" si="371"/>
        <v>0.0399999999999991</v>
      </c>
      <c r="AZ720" s="232">
        <f t="shared" si="372"/>
        <v>0.0399999999999991</v>
      </c>
    </row>
    <row r="721" spans="1:52">
      <c r="A721" s="269"/>
      <c r="C721" s="19">
        <v>598</v>
      </c>
      <c r="D721" s="86">
        <f ca="1" t="shared" si="396"/>
        <v>324.104101207344</v>
      </c>
      <c r="E721" s="251">
        <f ca="1" t="shared" si="373"/>
        <v>0.246887884935737</v>
      </c>
      <c r="F721" s="269">
        <f ca="1" t="shared" si="389"/>
        <v>848.594222276313</v>
      </c>
      <c r="G721" s="283">
        <f ca="1" t="shared" si="390"/>
        <v>209.507632706486</v>
      </c>
      <c r="H721" s="279">
        <f ca="1" t="shared" si="391"/>
        <v>0.139614543192067</v>
      </c>
      <c r="I721" s="269">
        <f ca="1">SUM($J$125:J721)/SUM($H$125:H721)</f>
        <v>0.441754433318825</v>
      </c>
      <c r="J721" s="284">
        <f t="shared" si="397"/>
        <v>0.0426956615106349</v>
      </c>
      <c r="K721" s="19">
        <f t="shared" si="399"/>
        <v>60700</v>
      </c>
      <c r="L721" s="269">
        <f t="shared" si="392"/>
        <v>4.03499999999994</v>
      </c>
      <c r="M721" s="226">
        <f ca="1" t="shared" si="393"/>
        <v>2585.088</v>
      </c>
      <c r="N721" s="280">
        <f ca="1" t="shared" si="398"/>
        <v>0.0969188816814324</v>
      </c>
      <c r="O721" s="226">
        <f t="shared" si="403"/>
        <v>844.8</v>
      </c>
      <c r="P721" s="19">
        <f ca="1" t="shared" si="367"/>
        <v>21.6</v>
      </c>
      <c r="Q721" s="226">
        <f ca="1" t="shared" si="402"/>
        <v>3.06</v>
      </c>
      <c r="R721" s="269">
        <f ca="1" t="shared" si="374"/>
        <v>1.17199446622557</v>
      </c>
      <c r="S721" s="266">
        <f ca="1" t="shared" si="375"/>
        <v>110.102885026583</v>
      </c>
      <c r="T721" s="226">
        <f ca="1">(1+OFFSET('玩法产出(新)'!$C$18,MATCH(X721,'玩法产出(新)'!$B$19:$B$25,0),1)*(1-V721)+OFFSET('玩法产出(新)'!$C$18,1+MATCH(X721,'玩法产出(新)'!$B$19:$B$25,0),1)*(V721))^AA721*(1+OFFSET('玩法产出(新)'!$C$18,MATCH(X721,'玩法产出(新)'!$B$19:$B$25,0),3)*(1-V721)+OFFSET('玩法产出(新)'!$C$18,1+MATCH(X721,'玩法产出(新)'!$B$19:$B$25,0),3)*(V721))^AB721*(1+OFFSET('玩法产出(新)'!$C$18,MATCH(X721,'玩法产出(新)'!$B$19:$B$25,0),4)*(1-V721)+OFFSET('玩法产出(新)'!$C$18,1+MATCH(X721,'玩法产出(新)'!$B$19:$B$25,0),4)*(V721))^AC721*(1+OFFSET('玩法产出(新)'!$C$18,MATCH(X721,'玩法产出(新)'!$B$19:$B$25,0),5)*(1+V721)+OFFSET('玩法产出(新)'!$C$18,1+MATCH(X721,'玩法产出(新)'!$B$19:$B$25,5),1)*(V721))^AD721*(1+OFFSET('玩法产出(新)'!$C$18,MATCH(X721,'玩法产出(新)'!$B$19:$B$25,0),6)*(1+V721)+OFFSET('玩法产出(新)'!$C$18,1+MATCH(X721,'玩法产出(新)'!$B$19:$B$25,0),6)*(V721))^AE721</f>
        <v>1718.85284027456</v>
      </c>
      <c r="U721" s="226">
        <f ca="1" t="shared" si="394"/>
        <v>0.10727334174367</v>
      </c>
      <c r="V721" s="226">
        <f ca="1">COUNTIF($X$124:$X721,X721)/(COUNTIF($X$124:$X$723,X721)+1)</f>
        <v>0.993814432989691</v>
      </c>
      <c r="W721" s="19">
        <v>30</v>
      </c>
      <c r="X721" s="19" t="s">
        <v>326</v>
      </c>
      <c r="Y721" s="19">
        <f t="shared" si="400"/>
        <v>60960</v>
      </c>
      <c r="Z721" s="19">
        <f ca="1" t="shared" si="376"/>
        <v>0</v>
      </c>
      <c r="AA721" s="282">
        <f ca="1" t="shared" si="377"/>
        <v>0</v>
      </c>
      <c r="AB721" s="282">
        <f ca="1" t="shared" si="378"/>
        <v>18</v>
      </c>
      <c r="AC721" s="282">
        <f ca="1" t="shared" si="379"/>
        <v>12</v>
      </c>
      <c r="AD721" s="282">
        <f ca="1" t="shared" si="380"/>
        <v>3.1497</v>
      </c>
      <c r="AE721" s="282">
        <f ca="1" t="shared" si="381"/>
        <v>0.787425</v>
      </c>
      <c r="AF721" s="19" t="str">
        <f t="shared" si="382"/>
        <v>彩6</v>
      </c>
      <c r="AG721" s="19">
        <f>IFERROR(_xlfn.XLOOKUP(C721+1,[2]基因升级!$E$141:$E$500,[2]基因升级!$D$141:$D$500)-1,AG720)</f>
        <v>123</v>
      </c>
      <c r="AH721" s="19">
        <v>8</v>
      </c>
      <c r="AI721" s="19">
        <f t="shared" si="383"/>
        <v>10.5142500606751</v>
      </c>
      <c r="AJ721" s="19">
        <f t="shared" si="395"/>
        <v>0</v>
      </c>
      <c r="AK721" s="269">
        <v>2.0368</v>
      </c>
      <c r="AL721" s="287">
        <f>AL720+0.04</f>
        <v>25.5599999999996</v>
      </c>
      <c r="AM721" s="287">
        <f>AL631</f>
        <v>21.9599999999997</v>
      </c>
      <c r="AN721" s="287">
        <f t="shared" si="366"/>
        <v>18.3599999999998</v>
      </c>
      <c r="AO721" s="287">
        <f t="shared" si="401"/>
        <v>14.7599999999999</v>
      </c>
      <c r="AP721" s="287">
        <f t="shared" si="365"/>
        <v>11.1599999999999</v>
      </c>
      <c r="AQ721" s="19">
        <f t="shared" si="384"/>
        <v>5.63701716971509</v>
      </c>
      <c r="AR721" s="19">
        <f t="shared" si="385"/>
        <v>4.41842775152785</v>
      </c>
      <c r="AS721" s="19">
        <f t="shared" si="386"/>
        <v>3.46326846410122</v>
      </c>
      <c r="AT721" s="19">
        <f t="shared" si="387"/>
        <v>2.71459196097312</v>
      </c>
      <c r="AU721" s="19">
        <f t="shared" si="388"/>
        <v>2.12776156135857</v>
      </c>
      <c r="AV721" s="232">
        <f t="shared" si="368"/>
        <v>0.0399999999999991</v>
      </c>
      <c r="AW721" s="232">
        <f t="shared" si="369"/>
        <v>0.0399999999999991</v>
      </c>
      <c r="AX721" s="232">
        <f t="shared" si="370"/>
        <v>0.0399999999999991</v>
      </c>
      <c r="AY721" s="232">
        <f t="shared" si="371"/>
        <v>0.0399999999999991</v>
      </c>
      <c r="AZ721" s="232">
        <f t="shared" si="372"/>
        <v>0.0399999999999991</v>
      </c>
    </row>
    <row r="722" spans="1:52">
      <c r="A722" s="269"/>
      <c r="C722" s="19">
        <v>599</v>
      </c>
      <c r="D722" s="86">
        <f ca="1" t="shared" si="396"/>
        <v>324.350368163516</v>
      </c>
      <c r="E722" s="251">
        <f ca="1" t="shared" si="373"/>
        <v>0.246266956172427</v>
      </c>
      <c r="F722" s="269">
        <f ca="1" t="shared" si="389"/>
        <v>851.297942285423</v>
      </c>
      <c r="G722" s="283">
        <f ca="1" t="shared" si="390"/>
        <v>209.646553042481</v>
      </c>
      <c r="H722" s="279">
        <f ca="1" t="shared" si="391"/>
        <v>0.138920335995863</v>
      </c>
      <c r="I722" s="269">
        <f ca="1">SUM($J$125:J722)/SUM($H$125:H722)</f>
        <v>0.441660588362037</v>
      </c>
      <c r="J722" s="284">
        <f t="shared" si="397"/>
        <v>0.0426328521612618</v>
      </c>
      <c r="K722" s="19">
        <f t="shared" si="399"/>
        <v>60800</v>
      </c>
      <c r="L722" s="269">
        <f t="shared" si="392"/>
        <v>4.03999999999994</v>
      </c>
      <c r="M722" s="226">
        <f ca="1" t="shared" si="393"/>
        <v>2601.984</v>
      </c>
      <c r="N722" s="280">
        <f ca="1" t="shared" si="398"/>
        <v>0.0962874838346011</v>
      </c>
      <c r="O722" s="226">
        <f t="shared" si="403"/>
        <v>844.8</v>
      </c>
      <c r="P722" s="19">
        <f ca="1" t="shared" si="367"/>
        <v>21.8</v>
      </c>
      <c r="Q722" s="226">
        <f ca="1" t="shared" si="402"/>
        <v>3.08</v>
      </c>
      <c r="R722" s="269">
        <f ca="1" t="shared" si="374"/>
        <v>1.17313712152279</v>
      </c>
      <c r="S722" s="266">
        <f ca="1" t="shared" si="375"/>
        <v>110.21023164676</v>
      </c>
      <c r="T722" s="226">
        <f ca="1">(1+OFFSET('玩法产出(新)'!$C$18,MATCH(X722,'玩法产出(新)'!$B$19:$B$25,0),1)*(1-V722)+OFFSET('玩法产出(新)'!$C$18,1+MATCH(X722,'玩法产出(新)'!$B$19:$B$25,0),1)*(V722))^AA722*(1+OFFSET('玩法产出(新)'!$C$18,MATCH(X722,'玩法产出(新)'!$B$19:$B$25,0),3)*(1-V722)+OFFSET('玩法产出(新)'!$C$18,1+MATCH(X722,'玩法产出(新)'!$B$19:$B$25,0),3)*(V722))^AB722*(1+OFFSET('玩法产出(新)'!$C$18,MATCH(X722,'玩法产出(新)'!$B$19:$B$25,0),4)*(1-V722)+OFFSET('玩法产出(新)'!$C$18,1+MATCH(X722,'玩法产出(新)'!$B$19:$B$25,0),4)*(V722))^AC722*(1+OFFSET('玩法产出(新)'!$C$18,MATCH(X722,'玩法产出(新)'!$B$19:$B$25,0),5)*(1+V722)+OFFSET('玩法产出(新)'!$C$18,1+MATCH(X722,'玩法产出(新)'!$B$19:$B$25,5),1)*(V722))^AD722*(1+OFFSET('玩法产出(新)'!$C$18,MATCH(X722,'玩法产出(新)'!$B$19:$B$25,0),6)*(1+V722)+OFFSET('玩法产出(新)'!$C$18,1+MATCH(X722,'玩法产出(新)'!$B$19:$B$25,0),6)*(V722))^AE722</f>
        <v>1731.38218818279</v>
      </c>
      <c r="U722" s="226">
        <f ca="1" t="shared" si="394"/>
        <v>0.107346620176564</v>
      </c>
      <c r="V722" s="226">
        <f ca="1">COUNTIF($X$124:$X722,X722)/(COUNTIF($X$124:$X$723,X722)+1)</f>
        <v>0.995876288659794</v>
      </c>
      <c r="W722" s="19">
        <v>30</v>
      </c>
      <c r="X722" s="19" t="s">
        <v>326</v>
      </c>
      <c r="Y722" s="19">
        <f t="shared" si="400"/>
        <v>61060</v>
      </c>
      <c r="Z722" s="19">
        <f ca="1" t="shared" si="376"/>
        <v>0</v>
      </c>
      <c r="AA722" s="282">
        <f ca="1" t="shared" si="377"/>
        <v>0</v>
      </c>
      <c r="AB722" s="282">
        <f ca="1" t="shared" si="378"/>
        <v>18</v>
      </c>
      <c r="AC722" s="282">
        <f ca="1" t="shared" si="379"/>
        <v>12</v>
      </c>
      <c r="AD722" s="282">
        <f ca="1" t="shared" si="380"/>
        <v>3.1549125</v>
      </c>
      <c r="AE722" s="282">
        <f ca="1" t="shared" si="381"/>
        <v>0.788728125</v>
      </c>
      <c r="AF722" s="19" t="str">
        <f t="shared" si="382"/>
        <v>彩6</v>
      </c>
      <c r="AG722" s="19">
        <f>IFERROR(_xlfn.XLOOKUP(C722+1,[2]基因升级!$E$141:$E$500,[2]基因升级!$D$141:$D$500)-1,AG721)</f>
        <v>123</v>
      </c>
      <c r="AH722" s="19">
        <v>8</v>
      </c>
      <c r="AI722" s="19">
        <f t="shared" si="383"/>
        <v>10.5142500606751</v>
      </c>
      <c r="AJ722" s="19">
        <f t="shared" si="395"/>
        <v>0</v>
      </c>
      <c r="AK722" s="269">
        <v>2.0368</v>
      </c>
      <c r="AL722" s="287">
        <f>AL721+0.04</f>
        <v>25.5999999999996</v>
      </c>
      <c r="AM722" s="287">
        <f>AL632</f>
        <v>21.9999999999997</v>
      </c>
      <c r="AN722" s="287">
        <f t="shared" si="366"/>
        <v>18.3999999999998</v>
      </c>
      <c r="AO722" s="287">
        <f t="shared" si="401"/>
        <v>14.7999999999999</v>
      </c>
      <c r="AP722" s="287">
        <f t="shared" si="365"/>
        <v>11.1999999999999</v>
      </c>
      <c r="AQ722" s="19">
        <f t="shared" si="384"/>
        <v>5.65229355050163</v>
      </c>
      <c r="AR722" s="19">
        <f t="shared" si="385"/>
        <v>4.43040174110034</v>
      </c>
      <c r="AS722" s="19">
        <f t="shared" si="386"/>
        <v>3.47265396111689</v>
      </c>
      <c r="AT722" s="19">
        <f t="shared" si="387"/>
        <v>2.72194853613112</v>
      </c>
      <c r="AU722" s="19">
        <f t="shared" si="388"/>
        <v>2.1335278194443</v>
      </c>
      <c r="AV722" s="232">
        <f t="shared" si="368"/>
        <v>0.0399999999999991</v>
      </c>
      <c r="AW722" s="232">
        <f t="shared" si="369"/>
        <v>0.0399999999999991</v>
      </c>
      <c r="AX722" s="232">
        <f t="shared" si="370"/>
        <v>0.0399999999999991</v>
      </c>
      <c r="AY722" s="232">
        <f t="shared" si="371"/>
        <v>0.0399999999999991</v>
      </c>
      <c r="AZ722" s="232">
        <f t="shared" si="372"/>
        <v>0.0399999999999991</v>
      </c>
    </row>
    <row r="723" spans="1:52">
      <c r="A723" s="269"/>
      <c r="C723" s="19">
        <v>600</v>
      </c>
      <c r="D723" s="86">
        <f ca="1" t="shared" si="396"/>
        <v>327.605230635872</v>
      </c>
      <c r="E723" s="251">
        <f ca="1" t="shared" si="373"/>
        <v>3.25486247235638</v>
      </c>
      <c r="F723" s="269">
        <f ca="1" t="shared" si="389"/>
        <v>65.3772617039423</v>
      </c>
      <c r="G723" s="283">
        <f ca="1" t="shared" si="390"/>
        <v>212.793995665584</v>
      </c>
      <c r="H723" s="279">
        <f ca="1" t="shared" si="391"/>
        <v>3.14744262310239</v>
      </c>
      <c r="I723" s="269">
        <f ca="1">SUM($J$125:J723)/SUM($H$125:H723)</f>
        <v>0.435015760809166</v>
      </c>
      <c r="J723" s="284">
        <f t="shared" si="397"/>
        <v>0.0425702307996971</v>
      </c>
      <c r="K723" s="19">
        <f t="shared" si="399"/>
        <v>60900</v>
      </c>
      <c r="L723" s="269">
        <f t="shared" si="392"/>
        <v>4.04499999999994</v>
      </c>
      <c r="M723" s="226">
        <f ca="1" t="shared" si="393"/>
        <v>3210.24</v>
      </c>
      <c r="N723" s="280">
        <f ca="1" t="shared" si="398"/>
        <v>3.10487239230267</v>
      </c>
      <c r="O723" s="226">
        <f t="shared" si="403"/>
        <v>1689.6</v>
      </c>
      <c r="P723" s="19">
        <f ca="1" t="shared" si="367"/>
        <v>10</v>
      </c>
      <c r="Q723" s="226">
        <f ca="1" t="shared" si="402"/>
        <v>1.9</v>
      </c>
      <c r="R723" s="269">
        <f ca="1" t="shared" si="374"/>
        <v>1.17428055630979</v>
      </c>
      <c r="S723" s="266">
        <f ca="1" t="shared" si="375"/>
        <v>110.317651496014</v>
      </c>
      <c r="T723" s="226">
        <f ca="1">(1+OFFSET('玩法产出(新)'!$C$18,MATCH(X723,'玩法产出(新)'!$B$19:$B$25,0),1)*(1-V723)+OFFSET('玩法产出(新)'!$C$18,1+MATCH(X723,'玩法产出(新)'!$B$19:$B$25,0),1)*(V723))^AA723*(1+OFFSET('玩法产出(新)'!$C$18,MATCH(X723,'玩法产出(新)'!$B$19:$B$25,0),3)*(1-V723)+OFFSET('玩法产出(新)'!$C$18,1+MATCH(X723,'玩法产出(新)'!$B$19:$B$25,0),3)*(V723))^AB723*(1+OFFSET('玩法产出(新)'!$C$18,MATCH(X723,'玩法产出(新)'!$B$19:$B$25,0),4)*(1-V723)+OFFSET('玩法产出(新)'!$C$18,1+MATCH(X723,'玩法产出(新)'!$B$19:$B$25,0),4)*(V723))^AC723*(1+OFFSET('玩法产出(新)'!$C$18,MATCH(X723,'玩法产出(新)'!$B$19:$B$25,0),5)*(1+V723)+OFFSET('玩法产出(新)'!$C$18,1+MATCH(X723,'玩法产出(新)'!$B$19:$B$25,5),1)*(V723))^AD723*(1+OFFSET('玩法产出(新)'!$C$18,MATCH(X723,'玩法产出(新)'!$B$19:$B$25,0),6)*(1+V723)+OFFSET('玩法产出(新)'!$C$18,1+MATCH(X723,'玩法产出(新)'!$B$19:$B$25,0),6)*(V723))^AE723</f>
        <v>1744.01150792082</v>
      </c>
      <c r="U723" s="226">
        <f ca="1" t="shared" si="394"/>
        <v>0.107419849254018</v>
      </c>
      <c r="V723" s="226">
        <f ca="1">COUNTIF($X$124:$X723,X723)/(COUNTIF($X$124:$X$723,X723)+1)</f>
        <v>0.997938144329897</v>
      </c>
      <c r="W723" s="19">
        <v>30</v>
      </c>
      <c r="X723" s="19" t="s">
        <v>326</v>
      </c>
      <c r="Y723" s="19">
        <f t="shared" si="400"/>
        <v>61160</v>
      </c>
      <c r="Z723" s="19">
        <f ca="1" t="shared" si="376"/>
        <v>0</v>
      </c>
      <c r="AA723" s="282">
        <f ca="1" t="shared" si="377"/>
        <v>0</v>
      </c>
      <c r="AB723" s="282">
        <f ca="1" t="shared" si="378"/>
        <v>18</v>
      </c>
      <c r="AC723" s="282">
        <f ca="1" t="shared" si="379"/>
        <v>12</v>
      </c>
      <c r="AD723" s="282">
        <f ca="1" t="shared" si="380"/>
        <v>3.160125</v>
      </c>
      <c r="AE723" s="282">
        <f ca="1" t="shared" si="381"/>
        <v>0.79003125</v>
      </c>
      <c r="AF723" s="19" t="str">
        <f t="shared" si="382"/>
        <v>彩7</v>
      </c>
      <c r="AG723" s="19">
        <f>IFERROR(_xlfn.XLOOKUP(C723+1,[2]基因升级!$E$141:$E$500,[2]基因升级!$D$141:$D$500)-1,AG722)</f>
        <v>123</v>
      </c>
      <c r="AH723" s="19">
        <v>8</v>
      </c>
      <c r="AI723" s="19">
        <f t="shared" si="383"/>
        <v>10.5142500606751</v>
      </c>
      <c r="AJ723" s="19">
        <f t="shared" si="395"/>
        <v>0</v>
      </c>
      <c r="AK723" s="269">
        <v>2.0368</v>
      </c>
      <c r="AL723" s="287">
        <f>AL722+0.04</f>
        <v>25.6399999999996</v>
      </c>
      <c r="AM723" s="287">
        <f>AL633</f>
        <v>22.0399999999997</v>
      </c>
      <c r="AN723" s="287">
        <f t="shared" si="366"/>
        <v>18.4399999999998</v>
      </c>
      <c r="AO723" s="287">
        <f t="shared" si="401"/>
        <v>14.8399999999999</v>
      </c>
      <c r="AP723" s="287">
        <f t="shared" si="365"/>
        <v>11.2399999999999</v>
      </c>
      <c r="AQ723" s="19">
        <f t="shared" si="384"/>
        <v>5.66761133045424</v>
      </c>
      <c r="AR723" s="19">
        <f t="shared" si="385"/>
        <v>4.44240818032107</v>
      </c>
      <c r="AS723" s="19">
        <f t="shared" si="386"/>
        <v>3.48206489293645</v>
      </c>
      <c r="AT723" s="19">
        <f t="shared" si="387"/>
        <v>2.72932504769164</v>
      </c>
      <c r="AU723" s="19">
        <f t="shared" si="388"/>
        <v>2.13930970415517</v>
      </c>
      <c r="AV723" s="232">
        <f t="shared" si="368"/>
        <v>0.0399999999999991</v>
      </c>
      <c r="AW723" s="232">
        <f t="shared" si="369"/>
        <v>0.0399999999999991</v>
      </c>
      <c r="AX723" s="232">
        <f t="shared" si="370"/>
        <v>0.0399999999999991</v>
      </c>
      <c r="AY723" s="232">
        <f t="shared" si="371"/>
        <v>0.0399999999999991</v>
      </c>
      <c r="AZ723" s="232">
        <f t="shared" si="372"/>
        <v>0.0399999999999991</v>
      </c>
    </row>
  </sheetData>
  <mergeCells count="6">
    <mergeCell ref="F122:H122"/>
    <mergeCell ref="I122:L122"/>
    <mergeCell ref="M122:Q122"/>
    <mergeCell ref="R122:AE122"/>
    <mergeCell ref="AF122:AG122"/>
    <mergeCell ref="AH122:AK122"/>
  </mergeCells>
  <pageMargins left="0.75" right="0.75" top="1" bottom="1" header="0.5" footer="0.5"/>
  <headerFooter/>
  <drawing r:id="rId1"/>
  <tableParts count="8">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2:W28"/>
  <sheetViews>
    <sheetView workbookViewId="0">
      <selection activeCell="H38" sqref="H38"/>
    </sheetView>
  </sheetViews>
  <sheetFormatPr defaultColWidth="9.14285714285714" defaultRowHeight="12.75"/>
  <cols>
    <col min="1" max="2" width="9.14285714285714" style="42"/>
    <col min="3" max="3" width="12.8571428571429" style="42"/>
    <col min="4" max="13" width="9.14285714285714" style="42"/>
    <col min="14" max="14" width="9.28571428571429" style="42"/>
    <col min="15" max="16384" width="9.14285714285714" style="42"/>
  </cols>
  <sheetData>
    <row r="2" spans="1:23">
      <c r="A2" s="42" t="s">
        <v>578</v>
      </c>
    </row>
    <row r="4" spans="1:23">
      <c r="B4" s="42" t="s">
        <v>683</v>
      </c>
      <c r="C4" s="42" t="s">
        <v>551</v>
      </c>
      <c r="D4" s="42" t="s">
        <v>684</v>
      </c>
    </row>
    <row r="5" spans="1:23">
      <c r="B5" s="42">
        <v>328</v>
      </c>
      <c r="C5" s="42">
        <f>24</f>
        <v>24</v>
      </c>
      <c r="D5" s="42">
        <f>C5*60</f>
        <v>1440</v>
      </c>
    </row>
    <row r="6" spans="1:23">
      <c r="B6" s="42">
        <v>40000</v>
      </c>
      <c r="C6" s="42">
        <f>INT(B6/B5*C5)</f>
        <v>2926</v>
      </c>
      <c r="D6" s="42">
        <f>C6*60</f>
        <v>175560</v>
      </c>
    </row>
    <row r="7" spans="1:23">
      <c r="U7" s="42" t="s">
        <v>685</v>
      </c>
      <c r="W7" s="42" t="s">
        <v>686</v>
      </c>
    </row>
    <row r="8" ht="16.5" spans="1:23">
      <c r="B8" s="19"/>
      <c r="C8" s="19" t="s">
        <v>632</v>
      </c>
      <c r="D8" s="19"/>
      <c r="E8" s="19"/>
      <c r="F8" s="225" t="s">
        <v>633</v>
      </c>
      <c r="G8" s="225"/>
      <c r="H8" s="225"/>
      <c r="U8" s="42" t="s">
        <v>687</v>
      </c>
      <c r="W8" s="42" t="s">
        <v>688</v>
      </c>
    </row>
    <row r="9" ht="16.5" spans="1:23">
      <c r="B9" s="19" t="s">
        <v>634</v>
      </c>
      <c r="C9" s="19" t="s">
        <v>326</v>
      </c>
      <c r="D9" s="19" t="s">
        <v>334</v>
      </c>
      <c r="E9" s="19" t="s">
        <v>340</v>
      </c>
      <c r="F9" s="225" t="s">
        <v>326</v>
      </c>
      <c r="G9" s="225" t="s">
        <v>334</v>
      </c>
      <c r="H9" s="225" t="s">
        <v>340</v>
      </c>
    </row>
    <row r="10" ht="16.5" spans="1:23">
      <c r="B10" s="19">
        <v>3</v>
      </c>
      <c r="C10" s="226">
        <v>0.1</v>
      </c>
      <c r="D10" s="226">
        <v>0.125</v>
      </c>
      <c r="E10" s="226">
        <v>0.16</v>
      </c>
      <c r="F10" s="225">
        <v>5000</v>
      </c>
      <c r="G10" s="225">
        <f t="shared" ref="G10:G13" si="0">F10*2</f>
        <v>10000</v>
      </c>
      <c r="H10" s="225">
        <f t="shared" ref="H10:H13" si="1">G10*2</f>
        <v>20000</v>
      </c>
      <c r="I10" s="42">
        <f t="shared" ref="I10:I13" si="2">$D$6/F10</f>
        <v>35.112</v>
      </c>
      <c r="J10" s="42">
        <f t="shared" ref="J10:J13" si="3">$D$6/G10</f>
        <v>17.556</v>
      </c>
      <c r="N10" s="42" t="s">
        <v>689</v>
      </c>
      <c r="O10" s="42" t="s">
        <v>690</v>
      </c>
      <c r="P10" s="42" t="s">
        <v>691</v>
      </c>
    </row>
    <row r="11" ht="16.5" spans="1:23">
      <c r="B11" s="19">
        <v>4</v>
      </c>
      <c r="C11" s="226">
        <v>0.25</v>
      </c>
      <c r="D11" s="226">
        <v>0.32</v>
      </c>
      <c r="E11" s="226">
        <v>0.4</v>
      </c>
      <c r="F11" s="225">
        <v>12000</v>
      </c>
      <c r="G11" s="225">
        <f t="shared" si="0"/>
        <v>24000</v>
      </c>
      <c r="H11" s="225">
        <f t="shared" si="1"/>
        <v>48000</v>
      </c>
      <c r="I11" s="42">
        <f t="shared" si="2"/>
        <v>14.63</v>
      </c>
      <c r="J11" s="42">
        <f t="shared" si="3"/>
        <v>7.315</v>
      </c>
      <c r="N11" s="42">
        <v>2</v>
      </c>
      <c r="O11" s="42">
        <v>2</v>
      </c>
      <c r="P11" s="42">
        <v>2</v>
      </c>
    </row>
    <row r="12" ht="16.5" spans="1:23">
      <c r="B12" s="19">
        <v>5</v>
      </c>
      <c r="C12" s="226">
        <v>0.32</v>
      </c>
      <c r="D12" s="226">
        <v>0.4</v>
      </c>
      <c r="E12" s="226">
        <v>0.5</v>
      </c>
      <c r="F12" s="225">
        <v>25000</v>
      </c>
      <c r="G12" s="225">
        <f t="shared" si="0"/>
        <v>50000</v>
      </c>
      <c r="H12" s="225">
        <f t="shared" si="1"/>
        <v>100000</v>
      </c>
      <c r="I12" s="42">
        <f t="shared" si="2"/>
        <v>7.0224</v>
      </c>
      <c r="J12" s="42">
        <f t="shared" si="3"/>
        <v>3.5112</v>
      </c>
      <c r="N12" s="227">
        <v>46315</v>
      </c>
    </row>
    <row r="13" ht="16.5" spans="1:23">
      <c r="B13" s="19">
        <v>6</v>
      </c>
      <c r="C13" s="226">
        <v>0.2</v>
      </c>
      <c r="D13" s="226">
        <v>0.25</v>
      </c>
      <c r="E13" s="226">
        <v>0.32</v>
      </c>
      <c r="F13" s="225">
        <v>50000</v>
      </c>
      <c r="G13" s="225">
        <f t="shared" si="0"/>
        <v>100000</v>
      </c>
      <c r="H13" s="225">
        <f t="shared" si="1"/>
        <v>200000</v>
      </c>
      <c r="I13" s="42">
        <f t="shared" si="2"/>
        <v>3.5112</v>
      </c>
      <c r="J13" s="42">
        <f t="shared" si="3"/>
        <v>1.7556</v>
      </c>
    </row>
    <row r="14" spans="1:23">
      <c r="N14" s="42">
        <v>5</v>
      </c>
      <c r="P14" s="42">
        <v>2</v>
      </c>
      <c r="Q14" s="42">
        <v>2</v>
      </c>
      <c r="R14" s="42">
        <v>4</v>
      </c>
    </row>
    <row r="15" spans="1:23">
      <c r="N15" s="42">
        <v>50000</v>
      </c>
    </row>
    <row r="16" spans="1:23">
      <c r="P16" s="42">
        <v>2</v>
      </c>
    </row>
    <row r="17" spans="1:16">
      <c r="D17" s="42" t="s">
        <v>692</v>
      </c>
      <c r="P17" s="42">
        <v>50000</v>
      </c>
    </row>
    <row r="18" ht="18" spans="1:16">
      <c r="B18" s="228" t="s">
        <v>388</v>
      </c>
      <c r="C18" s="229" t="s">
        <v>186</v>
      </c>
      <c r="D18" s="229">
        <v>1</v>
      </c>
      <c r="E18" s="229">
        <v>2</v>
      </c>
      <c r="F18" s="229">
        <v>3</v>
      </c>
      <c r="G18" s="229">
        <v>4</v>
      </c>
      <c r="H18" s="229">
        <v>5</v>
      </c>
      <c r="I18" s="229">
        <v>6</v>
      </c>
    </row>
    <row r="19" ht="17.25" spans="1:16">
      <c r="B19" s="230" t="s">
        <v>389</v>
      </c>
      <c r="C19" s="230">
        <v>4</v>
      </c>
      <c r="D19" s="231">
        <f t="shared" ref="D19:D25" si="4">E19</f>
        <v>0.02</v>
      </c>
      <c r="E19" s="231">
        <v>0.02</v>
      </c>
      <c r="F19" s="231"/>
      <c r="G19" s="231"/>
      <c r="H19" s="231"/>
      <c r="I19" s="231"/>
    </row>
    <row r="20" ht="17.25" spans="1:16">
      <c r="B20" s="230" t="s">
        <v>319</v>
      </c>
      <c r="C20" s="230">
        <f t="shared" ref="C20:C25" si="5">C19+4</f>
        <v>8</v>
      </c>
      <c r="D20" s="231">
        <f t="shared" si="4"/>
        <v>0.03</v>
      </c>
      <c r="E20" s="231">
        <v>0.03</v>
      </c>
      <c r="F20" s="231"/>
      <c r="G20" s="231"/>
      <c r="H20" s="231"/>
      <c r="I20" s="231"/>
    </row>
    <row r="21" ht="17.25" spans="1:16">
      <c r="B21" s="230" t="s">
        <v>320</v>
      </c>
      <c r="C21" s="230">
        <f t="shared" si="5"/>
        <v>12</v>
      </c>
      <c r="D21" s="231">
        <f t="shared" si="4"/>
        <v>0.04</v>
      </c>
      <c r="E21" s="231">
        <v>0.04</v>
      </c>
      <c r="F21" s="231">
        <v>0.06</v>
      </c>
      <c r="G21" s="231">
        <v>0.075</v>
      </c>
      <c r="H21" s="231"/>
      <c r="I21" s="231"/>
    </row>
    <row r="22" ht="17.25" spans="1:16">
      <c r="B22" s="230" t="s">
        <v>323</v>
      </c>
      <c r="C22" s="230">
        <f t="shared" si="5"/>
        <v>16</v>
      </c>
      <c r="D22" s="231">
        <f t="shared" si="4"/>
        <v>0.05</v>
      </c>
      <c r="E22" s="231">
        <v>0.05</v>
      </c>
      <c r="F22" s="231">
        <v>0.075</v>
      </c>
      <c r="G22" s="231">
        <v>0.1</v>
      </c>
      <c r="H22" s="231">
        <v>0.125</v>
      </c>
      <c r="I22" s="231">
        <v>0.15</v>
      </c>
    </row>
    <row r="23" ht="17.25" spans="1:16">
      <c r="B23" s="230" t="s">
        <v>326</v>
      </c>
      <c r="C23" s="230">
        <f t="shared" si="5"/>
        <v>20</v>
      </c>
      <c r="D23" s="231">
        <f t="shared" si="4"/>
        <v>0.0625</v>
      </c>
      <c r="E23" s="231">
        <v>0.0625</v>
      </c>
      <c r="F23" s="231">
        <v>0.1</v>
      </c>
      <c r="G23" s="231">
        <v>0.25</v>
      </c>
      <c r="H23" s="231">
        <v>0.32</v>
      </c>
      <c r="I23" s="231">
        <v>0.2</v>
      </c>
    </row>
    <row r="24" ht="17.25" spans="1:16">
      <c r="B24" s="230" t="s">
        <v>334</v>
      </c>
      <c r="C24" s="230">
        <f t="shared" si="5"/>
        <v>24</v>
      </c>
      <c r="D24" s="231">
        <f t="shared" si="4"/>
        <v>0.075</v>
      </c>
      <c r="E24" s="231">
        <v>0.075</v>
      </c>
      <c r="F24" s="231">
        <v>0.125</v>
      </c>
      <c r="G24" s="231">
        <v>0.32</v>
      </c>
      <c r="H24" s="231">
        <v>0.4</v>
      </c>
      <c r="I24" s="231">
        <v>0.25</v>
      </c>
    </row>
    <row r="25" ht="17.25" spans="1:16">
      <c r="B25" s="230" t="s">
        <v>344</v>
      </c>
      <c r="C25" s="230">
        <f t="shared" si="5"/>
        <v>28</v>
      </c>
      <c r="D25" s="231">
        <f t="shared" si="4"/>
        <v>0.1</v>
      </c>
      <c r="E25" s="231">
        <v>0.1</v>
      </c>
      <c r="F25" s="231">
        <v>0.16</v>
      </c>
      <c r="G25" s="231">
        <v>0.4</v>
      </c>
      <c r="H25" s="231">
        <v>0.5</v>
      </c>
      <c r="I25" s="231">
        <v>0.32</v>
      </c>
    </row>
    <row r="28" spans="1:16">
      <c r="A28" s="42" t="s">
        <v>569</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玩法框架">
    <tabColor rgb="FFFFFFFF"/>
  </sheetPr>
  <dimension ref="A2:X100"/>
  <sheetViews>
    <sheetView topLeftCell="A46" workbookViewId="0">
      <selection activeCell="H38" sqref="H38"/>
    </sheetView>
  </sheetViews>
  <sheetFormatPr defaultColWidth="10.2857142857143" defaultRowHeight="16.5"/>
  <cols>
    <col min="1" max="2" width="10.2857142857143" style="17"/>
    <col min="3" max="4" width="16.2857142857143" style="17" customWidth="1"/>
    <col min="5" max="5" width="18.5714285714286" style="17" customWidth="1"/>
    <col min="6" max="9" width="14.2857142857143" style="19" customWidth="1"/>
    <col min="10" max="11" width="10.2857142857143" style="17"/>
    <col min="12" max="12" width="10.5714285714286" style="17"/>
    <col min="13" max="16384" width="10.2857142857143" style="17"/>
  </cols>
  <sheetData>
    <row r="2" spans="1:18">
      <c r="A2" s="17" t="s">
        <v>693</v>
      </c>
    </row>
    <row r="3" spans="1:18">
      <c r="B3" s="17" t="s">
        <v>694</v>
      </c>
    </row>
    <row r="4" spans="1:18">
      <c r="F4" s="198" t="s">
        <v>9</v>
      </c>
      <c r="G4" s="198"/>
      <c r="H4" s="198"/>
      <c r="I4" s="198"/>
      <c r="L4" s="17">
        <v>100</v>
      </c>
      <c r="N4" s="17">
        <v>150</v>
      </c>
    </row>
    <row r="5" spans="1:18">
      <c r="B5" s="109" t="s">
        <v>695</v>
      </c>
      <c r="C5" s="109" t="s">
        <v>696</v>
      </c>
      <c r="D5" s="109" t="s">
        <v>697</v>
      </c>
      <c r="E5" s="109" t="s">
        <v>698</v>
      </c>
      <c r="F5" s="109" t="s">
        <v>699</v>
      </c>
      <c r="G5" s="109" t="s">
        <v>700</v>
      </c>
      <c r="H5" s="109" t="s">
        <v>701</v>
      </c>
      <c r="I5" s="109" t="s">
        <v>702</v>
      </c>
      <c r="M5" s="17">
        <v>125</v>
      </c>
    </row>
    <row r="6" spans="1:18">
      <c r="B6" s="25" t="s">
        <v>703</v>
      </c>
      <c r="C6" s="25" t="s">
        <v>704</v>
      </c>
      <c r="D6" s="25" t="s">
        <v>612</v>
      </c>
      <c r="E6" s="25" t="s">
        <v>705</v>
      </c>
      <c r="F6" s="25"/>
      <c r="G6" s="25" t="s">
        <v>706</v>
      </c>
      <c r="H6" s="25"/>
      <c r="I6" s="25" t="s">
        <v>707</v>
      </c>
      <c r="Q6" s="17">
        <f>80+185</f>
        <v>265</v>
      </c>
    </row>
    <row r="7" spans="1:18">
      <c r="B7" s="25" t="s">
        <v>708</v>
      </c>
      <c r="C7" s="25" t="s">
        <v>709</v>
      </c>
      <c r="D7" s="25" t="s">
        <v>710</v>
      </c>
      <c r="E7" s="25" t="s">
        <v>711</v>
      </c>
      <c r="F7" s="25" t="s">
        <v>712</v>
      </c>
      <c r="G7" s="25"/>
      <c r="H7" s="25"/>
      <c r="I7" s="25" t="s">
        <v>208</v>
      </c>
      <c r="Q7" s="17">
        <f>Q6/2</f>
        <v>132.5</v>
      </c>
    </row>
    <row r="8" spans="1:18">
      <c r="B8" s="25" t="s">
        <v>713</v>
      </c>
      <c r="C8" s="25" t="s">
        <v>714</v>
      </c>
      <c r="D8" s="25" t="s">
        <v>715</v>
      </c>
      <c r="E8" s="25" t="s">
        <v>716</v>
      </c>
      <c r="F8" s="25" t="s">
        <v>249</v>
      </c>
      <c r="G8" s="25"/>
      <c r="H8" s="25"/>
      <c r="I8" s="25" t="s">
        <v>707</v>
      </c>
      <c r="R8" s="17">
        <f>0.85-0.2</f>
        <v>0.65</v>
      </c>
    </row>
    <row r="9" spans="1:18">
      <c r="B9" s="25" t="s">
        <v>717</v>
      </c>
      <c r="C9" s="25" t="s">
        <v>718</v>
      </c>
      <c r="D9" s="25" t="s">
        <v>237</v>
      </c>
      <c r="E9" s="25" t="s">
        <v>719</v>
      </c>
      <c r="F9" s="25" t="s">
        <v>260</v>
      </c>
      <c r="G9" s="25"/>
      <c r="H9" s="25"/>
      <c r="I9" s="25" t="s">
        <v>707</v>
      </c>
      <c r="M9" s="199">
        <v>0.1</v>
      </c>
    </row>
    <row r="10" spans="1:18">
      <c r="B10" s="25" t="s">
        <v>720</v>
      </c>
      <c r="C10" s="25" t="s">
        <v>721</v>
      </c>
      <c r="D10" s="25" t="s">
        <v>237</v>
      </c>
      <c r="E10" s="25" t="s">
        <v>722</v>
      </c>
      <c r="F10" s="25"/>
      <c r="G10" s="25"/>
      <c r="H10" s="25"/>
      <c r="I10" s="25" t="s">
        <v>723</v>
      </c>
    </row>
    <row r="11" spans="1:18">
      <c r="B11" s="25" t="s">
        <v>724</v>
      </c>
      <c r="C11" s="25" t="s">
        <v>725</v>
      </c>
      <c r="D11" s="25" t="s">
        <v>237</v>
      </c>
      <c r="E11" s="25" t="s">
        <v>726</v>
      </c>
      <c r="F11" s="25"/>
      <c r="G11" s="25"/>
      <c r="H11" s="25"/>
      <c r="I11" s="25" t="s">
        <v>723</v>
      </c>
    </row>
    <row r="12" spans="1:18">
      <c r="B12" s="25" t="s">
        <v>727</v>
      </c>
      <c r="C12" s="25" t="s">
        <v>728</v>
      </c>
      <c r="D12" s="25" t="s">
        <v>237</v>
      </c>
      <c r="E12" s="25" t="s">
        <v>729</v>
      </c>
      <c r="F12" s="25" t="s">
        <v>730</v>
      </c>
      <c r="G12" s="25"/>
      <c r="H12" s="25"/>
      <c r="I12" s="25" t="s">
        <v>212</v>
      </c>
    </row>
    <row r="13" spans="1:18">
      <c r="B13" s="25" t="s">
        <v>731</v>
      </c>
      <c r="C13" s="25" t="s">
        <v>237</v>
      </c>
      <c r="D13" s="25" t="s">
        <v>237</v>
      </c>
      <c r="E13" s="25"/>
      <c r="F13" s="25"/>
      <c r="G13" s="25"/>
      <c r="H13" s="25"/>
      <c r="I13" s="25"/>
    </row>
    <row r="14" spans="1:18">
      <c r="B14" s="25" t="s">
        <v>732</v>
      </c>
      <c r="C14" s="25" t="s">
        <v>733</v>
      </c>
      <c r="D14" s="25" t="s">
        <v>237</v>
      </c>
      <c r="E14" s="25"/>
      <c r="F14" s="25" t="s">
        <v>734</v>
      </c>
      <c r="G14" s="25"/>
      <c r="H14" s="25"/>
      <c r="I14" s="25"/>
    </row>
    <row r="17" spans="1:1">
      <c r="A17" s="17" t="s">
        <v>735</v>
      </c>
    </row>
    <row r="47" spans="5:24">
      <c r="E47" s="17" t="s">
        <v>736</v>
      </c>
    </row>
    <row r="48" spans="5:24">
      <c r="F48" s="200" t="s">
        <v>287</v>
      </c>
      <c r="G48" s="201"/>
      <c r="H48" s="201"/>
      <c r="I48" s="202"/>
      <c r="J48" s="200" t="s">
        <v>249</v>
      </c>
      <c r="K48" s="201"/>
      <c r="L48" s="202"/>
      <c r="M48" s="200" t="s">
        <v>260</v>
      </c>
      <c r="N48" s="201"/>
      <c r="O48" s="201"/>
      <c r="P48" s="201"/>
      <c r="Q48" s="202"/>
      <c r="R48" s="200" t="s">
        <v>254</v>
      </c>
      <c r="S48" s="201"/>
      <c r="T48" s="202"/>
      <c r="U48" s="203" t="s">
        <v>236</v>
      </c>
      <c r="V48" s="200" t="s">
        <v>737</v>
      </c>
      <c r="W48" s="201"/>
      <c r="X48" s="202"/>
    </row>
    <row r="49" spans="2:24">
      <c r="B49" s="204" t="s">
        <v>695</v>
      </c>
      <c r="C49" s="204" t="s">
        <v>696</v>
      </c>
      <c r="D49" s="205" t="s">
        <v>738</v>
      </c>
      <c r="E49" s="205" t="s">
        <v>739</v>
      </c>
      <c r="F49" s="25" t="s">
        <v>740</v>
      </c>
      <c r="G49" s="25" t="s">
        <v>741</v>
      </c>
      <c r="H49" s="25" t="s">
        <v>742</v>
      </c>
      <c r="I49" s="25" t="s">
        <v>743</v>
      </c>
      <c r="J49" s="25" t="s">
        <v>744</v>
      </c>
      <c r="K49" s="25" t="s">
        <v>745</v>
      </c>
      <c r="L49" s="25" t="s">
        <v>746</v>
      </c>
      <c r="M49" s="25" t="s">
        <v>747</v>
      </c>
      <c r="N49" s="25" t="s">
        <v>748</v>
      </c>
      <c r="O49" s="25" t="s">
        <v>749</v>
      </c>
      <c r="P49" s="25" t="s">
        <v>750</v>
      </c>
      <c r="Q49" s="25" t="s">
        <v>751</v>
      </c>
      <c r="R49" s="25" t="s">
        <v>752</v>
      </c>
      <c r="S49" s="25" t="s">
        <v>753</v>
      </c>
      <c r="T49" s="25" t="s">
        <v>754</v>
      </c>
      <c r="U49" s="25" t="s">
        <v>236</v>
      </c>
      <c r="V49" s="25" t="s">
        <v>755</v>
      </c>
      <c r="W49" s="25" t="s">
        <v>260</v>
      </c>
      <c r="X49" s="25" t="s">
        <v>756</v>
      </c>
    </row>
    <row r="50" spans="2:24">
      <c r="B50" s="206" t="s">
        <v>757</v>
      </c>
      <c r="C50" s="207" t="s">
        <v>704</v>
      </c>
      <c r="D50" s="25" t="s">
        <v>758</v>
      </c>
      <c r="E50" s="25"/>
      <c r="F50" s="208"/>
      <c r="G50" s="208"/>
      <c r="H50" s="208"/>
      <c r="I50" s="208"/>
      <c r="J50" s="208"/>
      <c r="K50" s="208"/>
      <c r="L50" s="208"/>
      <c r="M50" s="208"/>
      <c r="N50" s="208"/>
      <c r="O50" s="208"/>
      <c r="P50" s="208"/>
      <c r="Q50" s="208"/>
      <c r="R50" s="209" t="s">
        <v>759</v>
      </c>
      <c r="S50" s="208"/>
      <c r="T50" s="208"/>
      <c r="U50" s="208"/>
      <c r="V50" s="209" t="s">
        <v>759</v>
      </c>
      <c r="W50" s="208"/>
      <c r="X50" s="208"/>
    </row>
    <row r="51" spans="2:24">
      <c r="B51" s="210"/>
      <c r="C51" s="211"/>
      <c r="D51" s="25" t="s">
        <v>760</v>
      </c>
      <c r="E51" s="25"/>
      <c r="F51" s="209" t="s">
        <v>759</v>
      </c>
      <c r="G51" s="209" t="s">
        <v>759</v>
      </c>
      <c r="H51" s="208"/>
      <c r="I51" s="209" t="s">
        <v>759</v>
      </c>
      <c r="J51" s="209" t="s">
        <v>759</v>
      </c>
      <c r="K51" s="209" t="s">
        <v>759</v>
      </c>
      <c r="L51" s="208"/>
      <c r="M51" s="208"/>
      <c r="N51" s="209" t="s">
        <v>759</v>
      </c>
      <c r="O51" s="208"/>
      <c r="P51" s="209" t="s">
        <v>759</v>
      </c>
      <c r="Q51" s="208"/>
      <c r="R51" s="209" t="s">
        <v>759</v>
      </c>
      <c r="S51" s="209" t="s">
        <v>759</v>
      </c>
      <c r="T51" s="208"/>
      <c r="U51" s="208"/>
      <c r="V51" s="208"/>
      <c r="W51" s="208"/>
      <c r="X51" s="208"/>
    </row>
    <row r="52" spans="2:24">
      <c r="B52" s="210"/>
      <c r="C52" s="211"/>
      <c r="D52" s="25" t="s">
        <v>761</v>
      </c>
      <c r="E52" s="25"/>
      <c r="F52" s="212" t="s">
        <v>762</v>
      </c>
      <c r="G52" s="25"/>
      <c r="H52" s="25"/>
      <c r="I52" s="213" t="s">
        <v>762</v>
      </c>
      <c r="J52" s="214" t="s">
        <v>763</v>
      </c>
      <c r="K52" s="214" t="s">
        <v>763</v>
      </c>
      <c r="L52" s="25"/>
      <c r="M52" s="213" t="s">
        <v>762</v>
      </c>
      <c r="N52" s="25"/>
      <c r="O52" s="25"/>
      <c r="P52" s="128" t="s">
        <v>764</v>
      </c>
      <c r="Q52" s="25"/>
      <c r="R52" s="212" t="s">
        <v>765</v>
      </c>
      <c r="S52" s="25"/>
      <c r="T52" s="25"/>
      <c r="U52" s="25"/>
      <c r="V52" s="212" t="s">
        <v>762</v>
      </c>
      <c r="W52" s="209" t="s">
        <v>766</v>
      </c>
      <c r="X52" s="25"/>
    </row>
    <row r="53" spans="2:24">
      <c r="B53" s="215"/>
      <c r="C53" s="28"/>
      <c r="D53" s="25" t="s">
        <v>767</v>
      </c>
      <c r="E53" s="25"/>
      <c r="F53" s="25"/>
      <c r="G53" s="25"/>
      <c r="H53" s="25"/>
      <c r="I53" s="213" t="s">
        <v>762</v>
      </c>
      <c r="J53" s="25"/>
      <c r="K53" s="25"/>
      <c r="L53" s="25"/>
      <c r="M53" s="213" t="s">
        <v>762</v>
      </c>
      <c r="N53" s="212" t="s">
        <v>768</v>
      </c>
      <c r="O53" s="25"/>
      <c r="P53" s="25"/>
      <c r="Q53" s="25"/>
      <c r="R53" s="25"/>
      <c r="S53" s="25"/>
      <c r="T53" s="25"/>
      <c r="U53" s="25"/>
      <c r="V53" s="209" t="s">
        <v>762</v>
      </c>
      <c r="W53" s="209" t="s">
        <v>762</v>
      </c>
      <c r="X53" s="25"/>
    </row>
    <row r="54" spans="2:24">
      <c r="B54" s="206" t="s">
        <v>708</v>
      </c>
      <c r="C54" s="211" t="s">
        <v>709</v>
      </c>
      <c r="D54" s="25" t="s">
        <v>769</v>
      </c>
      <c r="E54" s="25"/>
      <c r="F54" s="216" t="s">
        <v>770</v>
      </c>
      <c r="G54" s="217"/>
      <c r="H54" s="217"/>
      <c r="I54" s="217"/>
      <c r="J54" s="217"/>
      <c r="K54" s="217"/>
      <c r="L54" s="217"/>
      <c r="M54" s="217"/>
      <c r="N54" s="217"/>
      <c r="O54" s="217"/>
      <c r="P54" s="218"/>
      <c r="Q54" s="217"/>
      <c r="R54" s="217"/>
      <c r="S54" s="217"/>
      <c r="T54" s="217"/>
      <c r="U54" s="217"/>
      <c r="V54" s="216" t="s">
        <v>762</v>
      </c>
      <c r="W54" s="217"/>
      <c r="X54" s="217"/>
    </row>
    <row r="55" spans="2:24">
      <c r="B55" s="215"/>
      <c r="C55" s="28"/>
      <c r="D55" s="25" t="s">
        <v>771</v>
      </c>
      <c r="E55" s="25"/>
      <c r="F55" s="217"/>
      <c r="G55" s="217"/>
      <c r="H55" s="217"/>
      <c r="I55" s="136" t="s">
        <v>772</v>
      </c>
      <c r="J55" s="217"/>
      <c r="K55" s="217"/>
      <c r="L55" s="217"/>
      <c r="M55" s="217"/>
      <c r="N55" s="219" t="s">
        <v>764</v>
      </c>
      <c r="O55" s="219" t="s">
        <v>764</v>
      </c>
      <c r="P55" s="217"/>
      <c r="Q55" s="217"/>
      <c r="R55" s="217"/>
      <c r="S55" s="217"/>
      <c r="T55" s="217"/>
      <c r="U55" s="217"/>
      <c r="V55" s="217"/>
      <c r="W55" s="218"/>
      <c r="X55" s="217"/>
    </row>
    <row r="56" spans="2:24">
      <c r="B56" s="206" t="s">
        <v>713</v>
      </c>
      <c r="C56" s="220" t="s">
        <v>714</v>
      </c>
      <c r="D56" s="25" t="s">
        <v>773</v>
      </c>
      <c r="E56" s="25"/>
      <c r="F56" s="133"/>
      <c r="G56" s="25"/>
      <c r="H56" s="25"/>
      <c r="J56" s="213" t="s">
        <v>762</v>
      </c>
      <c r="K56" s="213" t="s">
        <v>762</v>
      </c>
      <c r="L56" s="25"/>
      <c r="M56" s="213" t="s">
        <v>762</v>
      </c>
      <c r="N56" s="212" t="s">
        <v>774</v>
      </c>
      <c r="O56" s="25"/>
      <c r="P56" s="212" t="s">
        <v>775</v>
      </c>
      <c r="Q56" s="208"/>
      <c r="R56" s="212" t="s">
        <v>770</v>
      </c>
      <c r="S56" s="25"/>
      <c r="T56" s="216" t="s">
        <v>762</v>
      </c>
      <c r="U56" s="25"/>
      <c r="V56" s="25"/>
      <c r="W56" s="25"/>
      <c r="X56" s="25"/>
    </row>
    <row r="57" spans="2:24">
      <c r="B57" s="210"/>
      <c r="C57" s="221"/>
      <c r="D57" s="25" t="s">
        <v>776</v>
      </c>
      <c r="E57" s="25"/>
      <c r="F57" s="133"/>
      <c r="G57" s="25"/>
      <c r="H57" s="25"/>
      <c r="I57" s="25"/>
      <c r="J57" s="213" t="s">
        <v>762</v>
      </c>
      <c r="K57" s="213" t="s">
        <v>762</v>
      </c>
      <c r="L57" s="25"/>
      <c r="M57" s="213" t="s">
        <v>762</v>
      </c>
      <c r="N57" s="212" t="s">
        <v>774</v>
      </c>
      <c r="O57" s="25"/>
      <c r="P57" s="212" t="s">
        <v>775</v>
      </c>
      <c r="Q57" s="208"/>
      <c r="R57" s="212" t="s">
        <v>770</v>
      </c>
      <c r="S57" s="25"/>
      <c r="T57" s="216" t="s">
        <v>762</v>
      </c>
      <c r="U57" s="25"/>
      <c r="V57" s="25"/>
      <c r="W57" s="25"/>
      <c r="X57" s="25"/>
    </row>
    <row r="58" spans="2:24">
      <c r="B58" s="210"/>
      <c r="C58" s="221"/>
      <c r="D58" s="25" t="s">
        <v>777</v>
      </c>
      <c r="E58" s="25"/>
      <c r="F58" s="25"/>
      <c r="G58" s="25"/>
      <c r="H58" s="25"/>
      <c r="I58" s="25"/>
      <c r="J58" s="25"/>
      <c r="K58" s="25"/>
      <c r="L58" s="128" t="s">
        <v>772</v>
      </c>
      <c r="M58" s="25"/>
      <c r="N58" s="25"/>
      <c r="O58" s="25"/>
      <c r="P58" s="25"/>
      <c r="Q58" s="25"/>
      <c r="R58" s="25"/>
      <c r="S58" s="25"/>
      <c r="T58" s="25"/>
      <c r="U58" s="25"/>
      <c r="V58" s="25"/>
      <c r="W58" s="212" t="s">
        <v>778</v>
      </c>
      <c r="X58" s="25"/>
    </row>
    <row r="59" spans="2:24">
      <c r="B59" s="215"/>
      <c r="C59" s="29"/>
      <c r="D59" s="25" t="s">
        <v>779</v>
      </c>
      <c r="E59" s="25"/>
      <c r="F59" s="212" t="s">
        <v>766</v>
      </c>
      <c r="G59" s="25"/>
      <c r="H59" s="25"/>
      <c r="I59" s="25"/>
      <c r="J59" s="25"/>
      <c r="K59" s="25"/>
      <c r="M59" s="25"/>
      <c r="N59" s="25"/>
      <c r="O59" s="25"/>
      <c r="P59" s="25"/>
      <c r="Q59" s="25"/>
      <c r="R59" s="25"/>
      <c r="S59" s="25"/>
      <c r="T59" s="25"/>
      <c r="U59" s="25"/>
      <c r="W59" s="209" t="s">
        <v>766</v>
      </c>
      <c r="X59" s="25"/>
    </row>
    <row r="60" spans="2:24">
      <c r="B60" s="206" t="s">
        <v>780</v>
      </c>
      <c r="C60" s="207" t="s">
        <v>718</v>
      </c>
      <c r="D60" s="25" t="s">
        <v>773</v>
      </c>
      <c r="E60" s="25"/>
      <c r="F60" s="25"/>
      <c r="G60" s="25"/>
      <c r="H60" s="25"/>
      <c r="I60" s="25"/>
      <c r="J60" s="25"/>
      <c r="K60" s="25"/>
      <c r="L60" s="25"/>
      <c r="M60" s="25"/>
      <c r="N60" s="25"/>
      <c r="O60" s="25"/>
      <c r="P60" s="25"/>
      <c r="Q60" s="25"/>
      <c r="R60" s="25"/>
      <c r="S60" s="25"/>
      <c r="T60" s="25"/>
      <c r="U60" s="25"/>
      <c r="V60" s="25"/>
      <c r="W60" s="25"/>
      <c r="X60" s="25"/>
    </row>
    <row r="61" spans="2:24">
      <c r="B61" s="210"/>
      <c r="C61" s="211"/>
      <c r="D61" s="25" t="s">
        <v>769</v>
      </c>
      <c r="E61" s="25"/>
      <c r="F61" s="25"/>
      <c r="G61" s="25"/>
      <c r="H61" s="25"/>
      <c r="I61" s="25"/>
      <c r="J61" s="25"/>
      <c r="K61" s="25"/>
      <c r="L61" s="25"/>
      <c r="M61" s="25"/>
      <c r="N61" s="213" t="s">
        <v>781</v>
      </c>
      <c r="O61" s="213" t="s">
        <v>782</v>
      </c>
      <c r="P61" s="25"/>
      <c r="Q61" s="25"/>
      <c r="R61" s="25"/>
      <c r="S61" s="25"/>
      <c r="T61" s="25"/>
      <c r="U61" s="25"/>
      <c r="V61" s="25"/>
      <c r="W61" s="25"/>
      <c r="X61" s="25"/>
    </row>
    <row r="62" spans="2:24">
      <c r="B62" s="210"/>
      <c r="C62" s="28"/>
      <c r="D62" s="25" t="s">
        <v>771</v>
      </c>
      <c r="E62" s="25"/>
      <c r="F62" s="25"/>
      <c r="G62" s="25"/>
      <c r="H62" s="25"/>
      <c r="I62" s="25"/>
      <c r="J62" s="25"/>
      <c r="K62" s="25"/>
      <c r="L62" s="25"/>
      <c r="M62" s="25"/>
      <c r="N62" s="25"/>
      <c r="O62" s="213" t="s">
        <v>783</v>
      </c>
      <c r="P62" s="25"/>
      <c r="Q62" s="216" t="s">
        <v>784</v>
      </c>
      <c r="R62" s="25"/>
      <c r="S62" s="25"/>
      <c r="T62" s="25"/>
      <c r="U62" s="25"/>
      <c r="V62" s="25"/>
      <c r="W62" s="212" t="s">
        <v>785</v>
      </c>
      <c r="X62" s="212" t="s">
        <v>786</v>
      </c>
    </row>
    <row r="63" spans="2:24">
      <c r="B63" s="206" t="s">
        <v>787</v>
      </c>
      <c r="C63" s="25" t="s">
        <v>237</v>
      </c>
      <c r="D63" s="25" t="s">
        <v>237</v>
      </c>
      <c r="E63" s="25"/>
      <c r="F63" s="25"/>
      <c r="G63" s="25"/>
      <c r="H63" s="25"/>
      <c r="I63" s="25"/>
      <c r="J63" s="25"/>
      <c r="K63" s="25"/>
      <c r="L63" s="25"/>
      <c r="M63" s="25"/>
      <c r="N63" s="25"/>
      <c r="O63" s="25"/>
      <c r="P63" s="25"/>
      <c r="Q63" s="25"/>
      <c r="R63" s="25"/>
      <c r="S63" s="25"/>
      <c r="T63" s="25"/>
      <c r="U63" s="25"/>
      <c r="V63" s="25"/>
      <c r="W63" s="25"/>
      <c r="X63" s="25"/>
    </row>
    <row r="64" spans="2:24">
      <c r="B64" s="222" t="s">
        <v>720</v>
      </c>
      <c r="C64" s="207" t="s">
        <v>788</v>
      </c>
      <c r="D64" s="25" t="s">
        <v>789</v>
      </c>
      <c r="E64" s="25"/>
      <c r="F64" s="212" t="s">
        <v>762</v>
      </c>
      <c r="G64" s="25"/>
      <c r="H64" s="25"/>
      <c r="I64" s="25"/>
      <c r="J64" s="25"/>
      <c r="K64" s="128" t="s">
        <v>762</v>
      </c>
      <c r="L64" s="25"/>
      <c r="M64" s="25"/>
      <c r="N64" s="212" t="s">
        <v>774</v>
      </c>
      <c r="O64" s="25"/>
      <c r="P64" s="25"/>
      <c r="Q64" s="216" t="s">
        <v>764</v>
      </c>
      <c r="R64" s="25"/>
      <c r="S64" s="25"/>
      <c r="T64" s="25"/>
      <c r="U64" s="25"/>
      <c r="V64" s="25"/>
      <c r="W64" s="219" t="s">
        <v>790</v>
      </c>
      <c r="X64" s="25"/>
    </row>
    <row r="65" spans="2:24">
      <c r="B65" s="223"/>
      <c r="C65" s="28"/>
      <c r="D65" s="25" t="s">
        <v>791</v>
      </c>
      <c r="E65" s="25"/>
      <c r="F65" s="212" t="s">
        <v>772</v>
      </c>
      <c r="G65" s="212" t="s">
        <v>772</v>
      </c>
      <c r="H65" s="25"/>
      <c r="I65" s="25"/>
      <c r="J65" s="25"/>
      <c r="K65" s="25"/>
      <c r="L65" s="25"/>
      <c r="M65" s="25"/>
      <c r="N65" s="25"/>
      <c r="O65" s="213" t="s">
        <v>792</v>
      </c>
      <c r="P65" s="25"/>
      <c r="Q65" s="216" t="s">
        <v>793</v>
      </c>
      <c r="R65" s="25"/>
      <c r="S65" s="25"/>
      <c r="T65" s="25"/>
      <c r="U65" s="25"/>
      <c r="V65" s="25"/>
      <c r="W65" s="212" t="s">
        <v>794</v>
      </c>
      <c r="X65" s="25"/>
    </row>
    <row r="66" spans="2:24">
      <c r="B66" s="224" t="s">
        <v>795</v>
      </c>
      <c r="C66" s="25" t="s">
        <v>796</v>
      </c>
      <c r="D66" s="25" t="s">
        <v>237</v>
      </c>
      <c r="E66" s="25"/>
      <c r="F66" s="25"/>
      <c r="G66" s="25"/>
      <c r="H66" s="25"/>
      <c r="I66" s="25"/>
      <c r="J66" s="25"/>
      <c r="K66" s="25"/>
      <c r="L66" s="25"/>
      <c r="M66" s="25"/>
      <c r="N66" s="25"/>
      <c r="O66" s="25"/>
      <c r="P66" s="25"/>
      <c r="Q66" s="25"/>
      <c r="R66" s="25"/>
      <c r="S66" s="25"/>
      <c r="T66" s="25"/>
      <c r="U66" s="25"/>
      <c r="V66" s="25"/>
      <c r="W66" s="25"/>
      <c r="X66" s="25"/>
    </row>
    <row r="67" spans="2:24">
      <c r="B67" s="224"/>
      <c r="C67" s="25" t="s">
        <v>797</v>
      </c>
      <c r="D67" s="25" t="s">
        <v>237</v>
      </c>
      <c r="E67" s="25"/>
      <c r="F67" s="25"/>
      <c r="G67" s="25"/>
      <c r="H67" s="25"/>
      <c r="I67" s="25"/>
      <c r="J67" s="25"/>
      <c r="K67" s="25"/>
      <c r="L67" s="25"/>
      <c r="M67" s="25"/>
      <c r="N67" s="25"/>
      <c r="O67" s="25"/>
      <c r="P67" s="25"/>
      <c r="Q67" s="25"/>
      <c r="R67" s="25"/>
      <c r="S67" s="25"/>
      <c r="T67" s="25"/>
      <c r="U67" s="25"/>
      <c r="V67" s="25"/>
      <c r="W67" s="25"/>
      <c r="X67" s="25"/>
    </row>
    <row r="68" spans="2:24">
      <c r="B68" s="207" t="s">
        <v>724</v>
      </c>
      <c r="C68" s="25" t="s">
        <v>725</v>
      </c>
      <c r="D68" s="25" t="s">
        <v>725</v>
      </c>
      <c r="E68" s="25"/>
      <c r="F68" s="212" t="s">
        <v>762</v>
      </c>
      <c r="G68" s="25"/>
      <c r="H68" s="25"/>
      <c r="I68" s="128" t="s">
        <v>762</v>
      </c>
      <c r="J68" s="25"/>
      <c r="K68" s="128" t="s">
        <v>762</v>
      </c>
      <c r="L68" s="25"/>
      <c r="M68" s="25"/>
      <c r="N68" s="25"/>
      <c r="O68" s="25"/>
      <c r="P68" s="25"/>
      <c r="Q68" s="128" t="s">
        <v>762</v>
      </c>
      <c r="R68" s="25"/>
      <c r="S68" s="25"/>
      <c r="T68" s="25"/>
      <c r="U68" s="25"/>
      <c r="V68" s="25"/>
      <c r="W68" s="25"/>
      <c r="X68" s="25"/>
    </row>
    <row r="69" spans="2:24">
      <c r="B69" s="25" t="s">
        <v>727</v>
      </c>
      <c r="C69" s="25" t="s">
        <v>798</v>
      </c>
      <c r="D69" s="25" t="s">
        <v>799</v>
      </c>
      <c r="E69" s="25"/>
      <c r="F69" s="25"/>
      <c r="G69" s="25"/>
      <c r="H69" s="213" t="s">
        <v>762</v>
      </c>
      <c r="I69" s="128" t="s">
        <v>762</v>
      </c>
      <c r="J69" s="25"/>
      <c r="K69" s="25"/>
      <c r="L69" s="25"/>
      <c r="M69" s="25"/>
      <c r="N69" s="25"/>
      <c r="O69" s="25"/>
      <c r="P69" s="25"/>
      <c r="Q69" s="25"/>
      <c r="R69" s="128" t="s">
        <v>762</v>
      </c>
      <c r="S69" s="25"/>
      <c r="T69" s="25"/>
      <c r="U69" s="25"/>
      <c r="V69" s="133" t="s">
        <v>762</v>
      </c>
      <c r="W69" s="25"/>
      <c r="X69" s="25"/>
    </row>
    <row r="70" spans="2:24">
      <c r="B70" s="25"/>
      <c r="C70" s="25" t="s">
        <v>800</v>
      </c>
      <c r="D70" s="25" t="s">
        <v>801</v>
      </c>
      <c r="E70" s="25"/>
      <c r="F70" s="25"/>
      <c r="G70" s="25"/>
      <c r="H70" s="25"/>
      <c r="I70" s="25"/>
      <c r="J70" s="25"/>
      <c r="K70" s="25"/>
      <c r="L70" s="25"/>
      <c r="M70" s="25"/>
      <c r="N70" s="25"/>
      <c r="O70" s="25"/>
      <c r="P70" s="25"/>
      <c r="Q70" s="25"/>
      <c r="R70" s="25"/>
      <c r="S70" s="25"/>
      <c r="T70" s="25"/>
      <c r="U70" s="25"/>
      <c r="V70" s="25"/>
      <c r="W70" s="25"/>
      <c r="X70" s="25"/>
    </row>
    <row r="71" spans="2:24">
      <c r="B71" s="25"/>
      <c r="C71" s="25" t="s">
        <v>802</v>
      </c>
      <c r="D71" s="25" t="s">
        <v>802</v>
      </c>
      <c r="E71" s="25"/>
      <c r="F71" s="209" t="s">
        <v>759</v>
      </c>
      <c r="G71" s="25"/>
      <c r="H71" s="25"/>
      <c r="I71" s="128" t="s">
        <v>759</v>
      </c>
      <c r="J71" s="25"/>
      <c r="K71" s="25"/>
      <c r="L71" s="25"/>
      <c r="M71" s="128" t="s">
        <v>759</v>
      </c>
      <c r="N71" s="25"/>
      <c r="O71" s="128" t="s">
        <v>759</v>
      </c>
      <c r="P71" s="25"/>
      <c r="Q71" s="128" t="s">
        <v>759</v>
      </c>
      <c r="R71" s="25"/>
      <c r="S71" s="25"/>
      <c r="T71" s="25"/>
      <c r="U71" s="25"/>
      <c r="V71" s="25"/>
      <c r="W71" s="25"/>
      <c r="X71" s="25"/>
    </row>
    <row r="72" spans="2:24">
      <c r="B72" s="25"/>
      <c r="C72" s="207" t="s">
        <v>803</v>
      </c>
      <c r="D72" s="27" t="s">
        <v>804</v>
      </c>
      <c r="E72" s="27"/>
      <c r="F72" s="25"/>
      <c r="G72" s="25"/>
      <c r="H72" s="25"/>
      <c r="I72" s="25"/>
      <c r="J72" s="25"/>
      <c r="K72" s="25"/>
      <c r="L72" s="25"/>
      <c r="M72" s="25"/>
      <c r="N72" s="25"/>
      <c r="O72" s="25"/>
      <c r="P72" s="25"/>
      <c r="Q72" s="25"/>
      <c r="R72" s="25"/>
      <c r="S72" s="25"/>
      <c r="T72" s="25"/>
      <c r="U72" s="25"/>
      <c r="V72" s="25"/>
      <c r="W72" s="25"/>
      <c r="X72" s="25"/>
    </row>
    <row r="73" spans="2:24">
      <c r="B73" s="25"/>
      <c r="C73" s="28"/>
      <c r="D73" s="27" t="s">
        <v>805</v>
      </c>
      <c r="E73" s="27"/>
      <c r="F73" s="25"/>
      <c r="G73" s="25"/>
      <c r="H73" s="25"/>
      <c r="I73" s="25"/>
      <c r="J73" s="25"/>
      <c r="K73" s="25"/>
      <c r="L73" s="25"/>
      <c r="M73" s="25"/>
      <c r="N73" s="25"/>
      <c r="O73" s="25"/>
      <c r="P73" s="25"/>
      <c r="Q73" s="25"/>
      <c r="R73" s="25"/>
      <c r="S73" s="25"/>
      <c r="T73" s="25"/>
      <c r="U73" s="25"/>
      <c r="V73" s="25"/>
      <c r="W73" s="25"/>
      <c r="X73" s="25"/>
    </row>
    <row r="74" spans="2:24">
      <c r="B74" s="25"/>
      <c r="C74" s="207" t="s">
        <v>806</v>
      </c>
      <c r="D74" s="27" t="s">
        <v>807</v>
      </c>
      <c r="E74" s="27"/>
      <c r="F74" s="25"/>
      <c r="G74" s="25"/>
      <c r="H74" s="25"/>
      <c r="I74" s="25"/>
      <c r="J74" s="25"/>
      <c r="K74" s="25"/>
      <c r="L74" s="25"/>
      <c r="M74" s="25"/>
      <c r="N74" s="25"/>
      <c r="O74" s="25"/>
      <c r="P74" s="25"/>
      <c r="Q74" s="25"/>
      <c r="R74" s="25"/>
      <c r="S74" s="25"/>
      <c r="T74" s="25"/>
      <c r="U74" s="25"/>
      <c r="V74" s="25"/>
      <c r="W74" s="25"/>
      <c r="X74" s="25"/>
    </row>
    <row r="75" spans="2:24">
      <c r="B75" s="25"/>
      <c r="C75" s="211"/>
      <c r="D75" s="27" t="s">
        <v>808</v>
      </c>
      <c r="E75" s="27"/>
      <c r="F75" s="25"/>
      <c r="G75" s="25"/>
      <c r="H75" s="25"/>
      <c r="I75" s="25"/>
      <c r="J75" s="25"/>
      <c r="K75" s="25"/>
      <c r="L75" s="25"/>
      <c r="M75" s="25"/>
      <c r="N75" s="25"/>
      <c r="O75" s="25"/>
      <c r="P75" s="25"/>
      <c r="Q75" s="25"/>
      <c r="R75" s="25"/>
      <c r="S75" s="25"/>
      <c r="T75" s="25"/>
      <c r="U75" s="25"/>
      <c r="V75" s="25"/>
      <c r="W75" s="25"/>
      <c r="X75" s="25"/>
    </row>
    <row r="76" spans="2:24">
      <c r="B76" s="25"/>
      <c r="C76" s="28"/>
      <c r="D76" s="27" t="s">
        <v>809</v>
      </c>
      <c r="E76" s="27"/>
      <c r="F76" s="25"/>
      <c r="G76" s="25"/>
      <c r="H76" s="25"/>
      <c r="I76" s="25"/>
      <c r="J76" s="25"/>
      <c r="K76" s="25"/>
      <c r="L76" s="25"/>
      <c r="M76" s="25"/>
      <c r="N76" s="25"/>
      <c r="O76" s="25"/>
      <c r="P76" s="25"/>
      <c r="Q76" s="25"/>
      <c r="R76" s="25"/>
      <c r="S76" s="25"/>
      <c r="T76" s="25"/>
      <c r="U76" s="25"/>
      <c r="V76" s="25"/>
      <c r="W76" s="25"/>
      <c r="X76" s="25"/>
    </row>
    <row r="77" spans="2:24">
      <c r="B77" s="25"/>
      <c r="C77" s="207" t="s">
        <v>810</v>
      </c>
      <c r="D77" s="27" t="s">
        <v>810</v>
      </c>
      <c r="E77" s="27"/>
      <c r="F77" s="25"/>
      <c r="G77" s="25"/>
      <c r="H77" s="25"/>
      <c r="I77" s="25"/>
      <c r="J77" s="25"/>
      <c r="K77" s="25"/>
      <c r="L77" s="25"/>
      <c r="M77" s="25"/>
      <c r="N77" s="25"/>
      <c r="O77" s="25"/>
      <c r="P77" s="25"/>
      <c r="Q77" s="25"/>
      <c r="R77" s="25"/>
      <c r="S77" s="25"/>
      <c r="T77" s="25"/>
      <c r="U77" s="25"/>
      <c r="V77" s="25"/>
      <c r="W77" s="25"/>
      <c r="X77" s="25"/>
    </row>
    <row r="78" spans="2:24">
      <c r="B78" s="25"/>
      <c r="C78" s="28"/>
      <c r="D78" s="27" t="s">
        <v>811</v>
      </c>
      <c r="E78" s="27"/>
      <c r="F78" s="25"/>
      <c r="G78" s="25"/>
      <c r="H78" s="25"/>
      <c r="I78" s="25"/>
      <c r="J78" s="25"/>
      <c r="K78" s="25"/>
      <c r="L78" s="25"/>
      <c r="M78" s="25"/>
      <c r="N78" s="25"/>
      <c r="O78" s="25"/>
      <c r="P78" s="25"/>
      <c r="Q78" s="25"/>
      <c r="R78" s="25"/>
      <c r="S78" s="25"/>
      <c r="T78" s="25"/>
      <c r="U78" s="25"/>
      <c r="V78" s="25"/>
      <c r="W78" s="25"/>
      <c r="X78" s="25"/>
    </row>
    <row r="79" spans="2:24">
      <c r="B79" s="25"/>
      <c r="C79" s="207" t="s">
        <v>812</v>
      </c>
      <c r="D79" s="27" t="s">
        <v>758</v>
      </c>
      <c r="E79" s="27"/>
      <c r="F79" s="25"/>
      <c r="G79" s="25"/>
      <c r="H79" s="25"/>
      <c r="I79" s="25"/>
      <c r="J79" s="25"/>
      <c r="K79" s="25"/>
      <c r="L79" s="25"/>
      <c r="M79" s="25"/>
      <c r="N79" s="25"/>
      <c r="O79" s="25"/>
      <c r="P79" s="25"/>
      <c r="Q79" s="25"/>
      <c r="R79" s="25"/>
      <c r="S79" s="25"/>
      <c r="T79" s="25"/>
      <c r="U79" s="25"/>
      <c r="V79" s="25"/>
      <c r="W79" s="25"/>
      <c r="X79" s="25"/>
    </row>
    <row r="80" spans="2:24">
      <c r="B80" s="25"/>
      <c r="C80" s="28"/>
      <c r="D80" s="27" t="s">
        <v>809</v>
      </c>
      <c r="E80" s="27"/>
      <c r="F80" s="25"/>
      <c r="G80" s="25"/>
      <c r="H80" s="25"/>
      <c r="I80" s="25"/>
      <c r="J80" s="25"/>
      <c r="K80" s="25"/>
      <c r="L80" s="25"/>
      <c r="M80" s="25"/>
      <c r="N80" s="25"/>
      <c r="O80" s="25"/>
      <c r="P80" s="25"/>
      <c r="Q80" s="25"/>
      <c r="R80" s="25"/>
      <c r="S80" s="25"/>
      <c r="T80" s="25"/>
      <c r="U80" s="25"/>
      <c r="V80" s="25"/>
      <c r="W80" s="25"/>
      <c r="X80" s="25"/>
    </row>
    <row r="81" spans="2:24">
      <c r="B81" s="25"/>
      <c r="C81" s="207" t="s">
        <v>813</v>
      </c>
      <c r="D81" s="25" t="s">
        <v>814</v>
      </c>
      <c r="E81" s="25"/>
      <c r="F81" s="212" t="s">
        <v>762</v>
      </c>
      <c r="G81" s="25"/>
      <c r="H81" s="25"/>
      <c r="I81" s="212" t="s">
        <v>762</v>
      </c>
      <c r="J81" s="25"/>
      <c r="K81" s="212" t="s">
        <v>762</v>
      </c>
      <c r="L81" s="212" t="s">
        <v>762</v>
      </c>
      <c r="M81" s="25"/>
      <c r="N81" s="25"/>
      <c r="O81" s="212" t="s">
        <v>762</v>
      </c>
      <c r="P81" s="212" t="s">
        <v>762</v>
      </c>
      <c r="Q81" s="212" t="s">
        <v>762</v>
      </c>
      <c r="R81" s="212" t="s">
        <v>762</v>
      </c>
      <c r="S81" s="25"/>
      <c r="T81" s="212" t="s">
        <v>762</v>
      </c>
      <c r="U81" s="25"/>
      <c r="V81" s="212" t="s">
        <v>762</v>
      </c>
      <c r="W81" s="25"/>
      <c r="X81" s="25"/>
    </row>
    <row r="82" spans="2:24">
      <c r="B82" s="25"/>
      <c r="C82" s="211"/>
      <c r="D82" s="25" t="s">
        <v>815</v>
      </c>
      <c r="E82" s="25"/>
      <c r="F82" s="212" t="s">
        <v>772</v>
      </c>
      <c r="G82" s="25"/>
      <c r="H82" s="25"/>
      <c r="I82" s="212" t="s">
        <v>772</v>
      </c>
      <c r="J82" s="25"/>
      <c r="K82" s="212" t="s">
        <v>772</v>
      </c>
      <c r="L82" s="212" t="s">
        <v>772</v>
      </c>
      <c r="M82" s="25"/>
      <c r="N82" s="25"/>
      <c r="O82" s="212" t="s">
        <v>772</v>
      </c>
      <c r="P82" s="212" t="s">
        <v>772</v>
      </c>
      <c r="Q82" s="212" t="s">
        <v>772</v>
      </c>
      <c r="R82" s="212" t="s">
        <v>772</v>
      </c>
      <c r="S82" s="25"/>
      <c r="T82" s="212" t="s">
        <v>772</v>
      </c>
      <c r="U82" s="25"/>
      <c r="V82" s="212" t="s">
        <v>772</v>
      </c>
      <c r="W82" s="25"/>
      <c r="X82" s="25"/>
    </row>
    <row r="83" spans="2:24">
      <c r="B83" s="25"/>
      <c r="C83" s="28"/>
      <c r="D83" s="25" t="s">
        <v>816</v>
      </c>
      <c r="E83" s="25"/>
      <c r="F83" s="212" t="s">
        <v>817</v>
      </c>
      <c r="G83" s="25"/>
      <c r="H83" s="25"/>
      <c r="I83" s="212" t="s">
        <v>817</v>
      </c>
      <c r="J83" s="25"/>
      <c r="K83" s="212" t="s">
        <v>817</v>
      </c>
      <c r="L83" s="212" t="s">
        <v>817</v>
      </c>
      <c r="M83" s="212" t="s">
        <v>817</v>
      </c>
      <c r="N83" s="25"/>
      <c r="O83" s="212" t="s">
        <v>817</v>
      </c>
      <c r="P83" s="212" t="s">
        <v>817</v>
      </c>
      <c r="Q83" s="212" t="s">
        <v>817</v>
      </c>
      <c r="R83" s="212" t="s">
        <v>817</v>
      </c>
      <c r="S83" s="25"/>
      <c r="T83" s="212" t="s">
        <v>817</v>
      </c>
      <c r="U83" s="25"/>
      <c r="V83" s="212" t="s">
        <v>817</v>
      </c>
      <c r="W83" s="25"/>
      <c r="X83" s="25"/>
    </row>
    <row r="84" spans="2:24">
      <c r="B84" s="25"/>
      <c r="C84" s="25" t="s">
        <v>818</v>
      </c>
      <c r="D84" s="27" t="s">
        <v>819</v>
      </c>
      <c r="E84" s="27"/>
      <c r="F84" s="25"/>
      <c r="G84" s="25"/>
      <c r="H84" s="25"/>
      <c r="I84" s="25"/>
      <c r="J84" s="25"/>
      <c r="K84" s="25"/>
      <c r="L84" s="25"/>
      <c r="M84" s="25"/>
      <c r="N84" s="25"/>
      <c r="O84" s="25"/>
      <c r="P84" s="25"/>
      <c r="Q84" s="25"/>
      <c r="R84" s="25"/>
      <c r="S84" s="25"/>
      <c r="T84" s="25"/>
      <c r="U84" s="25"/>
      <c r="V84" s="25"/>
      <c r="W84" s="25"/>
      <c r="X84" s="25"/>
    </row>
    <row r="85" spans="2:24">
      <c r="B85" s="25"/>
      <c r="C85" s="207" t="s">
        <v>820</v>
      </c>
      <c r="D85" s="27" t="s">
        <v>821</v>
      </c>
      <c r="E85" s="27"/>
      <c r="F85" s="25"/>
      <c r="G85" s="25"/>
      <c r="H85" s="25"/>
      <c r="I85" s="25"/>
      <c r="J85" s="25"/>
      <c r="K85" s="25"/>
      <c r="L85" s="25"/>
      <c r="M85" s="25"/>
      <c r="N85" s="25"/>
      <c r="O85" s="25"/>
      <c r="P85" s="25"/>
      <c r="Q85" s="25"/>
      <c r="R85" s="25"/>
      <c r="S85" s="25"/>
      <c r="T85" s="25"/>
      <c r="U85" s="25"/>
      <c r="V85" s="25"/>
      <c r="W85" s="25"/>
      <c r="X85" s="25"/>
    </row>
    <row r="86" spans="2:24">
      <c r="B86" s="25"/>
      <c r="C86" s="28"/>
      <c r="D86" s="27" t="s">
        <v>822</v>
      </c>
      <c r="E86" s="27"/>
      <c r="F86" s="25"/>
      <c r="G86" s="25"/>
      <c r="H86" s="25"/>
      <c r="I86" s="25"/>
      <c r="J86" s="25"/>
      <c r="K86" s="25"/>
      <c r="L86" s="25"/>
      <c r="M86" s="25"/>
      <c r="N86" s="25"/>
      <c r="O86" s="25"/>
      <c r="P86" s="25"/>
      <c r="Q86" s="25"/>
      <c r="R86" s="25"/>
      <c r="S86" s="25"/>
      <c r="T86" s="25"/>
      <c r="U86" s="25"/>
      <c r="V86" s="25"/>
      <c r="W86" s="25"/>
      <c r="X86" s="25"/>
    </row>
    <row r="87" spans="2:24">
      <c r="B87" s="25"/>
      <c r="C87" s="25" t="s">
        <v>823</v>
      </c>
      <c r="D87" s="27" t="s">
        <v>823</v>
      </c>
      <c r="E87" s="27"/>
      <c r="F87" s="25"/>
      <c r="G87" s="25"/>
      <c r="H87" s="25"/>
      <c r="I87" s="25"/>
      <c r="J87" s="25"/>
      <c r="K87" s="25"/>
      <c r="L87" s="25"/>
      <c r="M87" s="25"/>
      <c r="N87" s="25"/>
      <c r="O87" s="25"/>
      <c r="P87" s="25"/>
      <c r="Q87" s="25"/>
      <c r="R87" s="25"/>
      <c r="S87" s="25"/>
      <c r="T87" s="25"/>
      <c r="U87" s="25"/>
      <c r="V87" s="25"/>
      <c r="W87" s="25"/>
      <c r="X87" s="25"/>
    </row>
    <row r="88" spans="2:24">
      <c r="B88" s="25" t="s">
        <v>731</v>
      </c>
      <c r="C88" s="207" t="s">
        <v>824</v>
      </c>
      <c r="D88" s="27" t="s">
        <v>825</v>
      </c>
      <c r="E88" s="27"/>
      <c r="F88" s="25"/>
      <c r="G88" s="25"/>
      <c r="H88" s="25"/>
      <c r="I88" s="25"/>
      <c r="J88" s="25"/>
      <c r="K88" s="25"/>
      <c r="L88" s="25"/>
      <c r="M88" s="25"/>
      <c r="N88" s="25"/>
      <c r="O88" s="25"/>
      <c r="P88" s="25"/>
      <c r="Q88" s="25"/>
      <c r="R88" s="25"/>
      <c r="S88" s="25"/>
      <c r="T88" s="25"/>
      <c r="U88" s="25"/>
      <c r="V88" s="25"/>
      <c r="W88" s="25"/>
      <c r="X88" s="25"/>
    </row>
    <row r="89" spans="2:24">
      <c r="B89" s="25"/>
      <c r="C89" s="211"/>
      <c r="D89" s="27" t="s">
        <v>826</v>
      </c>
      <c r="E89" s="27"/>
      <c r="F89" s="25"/>
      <c r="G89" s="25"/>
      <c r="H89" s="25"/>
      <c r="I89" s="25"/>
      <c r="J89" s="25"/>
      <c r="K89" s="25"/>
      <c r="L89" s="25"/>
      <c r="M89" s="25"/>
      <c r="N89" s="25"/>
      <c r="O89" s="25"/>
      <c r="P89" s="25"/>
      <c r="Q89" s="25"/>
      <c r="R89" s="25"/>
      <c r="S89" s="25"/>
      <c r="T89" s="25"/>
      <c r="U89" s="25"/>
      <c r="V89" s="25"/>
      <c r="W89" s="25"/>
      <c r="X89" s="25"/>
    </row>
    <row r="90" spans="2:24">
      <c r="B90" s="25"/>
      <c r="C90" s="211"/>
      <c r="D90" s="27" t="s">
        <v>827</v>
      </c>
      <c r="E90" s="27"/>
      <c r="F90" s="25"/>
      <c r="G90" s="25"/>
      <c r="H90" s="25"/>
      <c r="I90" s="25"/>
      <c r="J90" s="25"/>
      <c r="K90" s="25"/>
      <c r="L90" s="25"/>
      <c r="M90" s="25"/>
      <c r="N90" s="25"/>
      <c r="O90" s="25"/>
      <c r="P90" s="25"/>
      <c r="Q90" s="25"/>
      <c r="R90" s="25"/>
      <c r="S90" s="25"/>
      <c r="T90" s="25"/>
      <c r="U90" s="25"/>
      <c r="V90" s="25"/>
      <c r="W90" s="25"/>
      <c r="X90" s="25"/>
    </row>
    <row r="91" spans="2:24">
      <c r="B91" s="25"/>
      <c r="C91" s="28"/>
      <c r="D91" s="27" t="s">
        <v>828</v>
      </c>
      <c r="E91" s="27"/>
      <c r="F91" s="25"/>
      <c r="G91" s="25"/>
      <c r="H91" s="25"/>
      <c r="I91" s="25"/>
      <c r="J91" s="25"/>
      <c r="K91" s="25"/>
      <c r="L91" s="25"/>
      <c r="M91" s="25"/>
      <c r="N91" s="25"/>
      <c r="O91" s="25"/>
      <c r="P91" s="25"/>
      <c r="Q91" s="25"/>
      <c r="R91" s="25"/>
      <c r="S91" s="25"/>
      <c r="T91" s="25"/>
      <c r="U91" s="25"/>
      <c r="V91" s="25"/>
      <c r="W91" s="25"/>
      <c r="X91" s="25"/>
    </row>
    <row r="92" spans="2:24">
      <c r="B92" s="25"/>
      <c r="C92" s="207" t="s">
        <v>829</v>
      </c>
      <c r="D92" s="27" t="s">
        <v>830</v>
      </c>
      <c r="E92" s="27"/>
      <c r="F92" s="25"/>
      <c r="G92" s="25"/>
      <c r="H92" s="25"/>
      <c r="I92" s="25"/>
      <c r="J92" s="25"/>
      <c r="K92" s="25"/>
      <c r="L92" s="25"/>
      <c r="M92" s="25"/>
      <c r="N92" s="25"/>
      <c r="O92" s="25"/>
      <c r="P92" s="25"/>
      <c r="Q92" s="25"/>
      <c r="R92" s="25"/>
      <c r="S92" s="25"/>
      <c r="T92" s="25"/>
      <c r="U92" s="25"/>
      <c r="V92" s="25"/>
      <c r="W92" s="25"/>
      <c r="X92" s="25"/>
    </row>
    <row r="93" spans="2:24">
      <c r="B93" s="25"/>
      <c r="C93" s="211"/>
      <c r="D93" s="27" t="s">
        <v>831</v>
      </c>
      <c r="E93" s="27"/>
      <c r="F93" s="25"/>
      <c r="G93" s="25"/>
      <c r="H93" s="25"/>
      <c r="I93" s="25"/>
      <c r="J93" s="25"/>
      <c r="K93" s="25"/>
      <c r="L93" s="25"/>
      <c r="M93" s="25"/>
      <c r="N93" s="25"/>
      <c r="O93" s="25"/>
      <c r="P93" s="25"/>
      <c r="Q93" s="25"/>
      <c r="R93" s="25"/>
      <c r="S93" s="25"/>
      <c r="T93" s="25"/>
      <c r="U93" s="25"/>
      <c r="V93" s="25"/>
      <c r="W93" s="25"/>
      <c r="X93" s="25"/>
    </row>
    <row r="94" spans="2:24">
      <c r="B94" s="25"/>
      <c r="C94" s="28"/>
      <c r="D94" s="27" t="s">
        <v>832</v>
      </c>
      <c r="E94" s="27"/>
      <c r="F94" s="25"/>
      <c r="G94" s="25"/>
      <c r="H94" s="25"/>
      <c r="I94" s="25"/>
      <c r="J94" s="25"/>
      <c r="K94" s="25"/>
      <c r="L94" s="25"/>
      <c r="M94" s="25"/>
      <c r="N94" s="25"/>
      <c r="O94" s="25"/>
      <c r="P94" s="25"/>
      <c r="Q94" s="25"/>
      <c r="R94" s="25"/>
      <c r="S94" s="25"/>
      <c r="T94" s="25"/>
      <c r="U94" s="25"/>
      <c r="V94" s="25"/>
      <c r="W94" s="25"/>
      <c r="X94" s="25"/>
    </row>
    <row r="95" spans="2:24">
      <c r="B95" s="25"/>
      <c r="C95" s="207" t="s">
        <v>833</v>
      </c>
      <c r="D95" s="27" t="s">
        <v>834</v>
      </c>
      <c r="E95" s="27"/>
      <c r="F95" s="25"/>
      <c r="G95" s="25"/>
      <c r="H95" s="25"/>
      <c r="I95" s="25"/>
      <c r="J95" s="25"/>
      <c r="K95" s="25"/>
      <c r="L95" s="25"/>
      <c r="M95" s="25"/>
      <c r="N95" s="25"/>
      <c r="O95" s="25"/>
      <c r="P95" s="25"/>
      <c r="Q95" s="25"/>
      <c r="R95" s="25"/>
      <c r="S95" s="25"/>
      <c r="T95" s="25"/>
      <c r="U95" s="25"/>
      <c r="V95" s="25"/>
      <c r="W95" s="25"/>
      <c r="X95" s="25"/>
    </row>
    <row r="96" spans="2:24">
      <c r="B96" s="25"/>
      <c r="C96" s="211"/>
      <c r="D96" s="27" t="s">
        <v>835</v>
      </c>
      <c r="E96" s="27"/>
      <c r="F96" s="25"/>
      <c r="G96" s="25"/>
      <c r="H96" s="25"/>
      <c r="I96" s="25"/>
      <c r="J96" s="25"/>
      <c r="K96" s="25"/>
      <c r="L96" s="25"/>
      <c r="M96" s="25"/>
      <c r="N96" s="25"/>
      <c r="O96" s="25"/>
      <c r="P96" s="25"/>
      <c r="Q96" s="25"/>
      <c r="R96" s="25"/>
      <c r="S96" s="25"/>
      <c r="T96" s="25"/>
      <c r="U96" s="25"/>
      <c r="V96" s="25"/>
      <c r="W96" s="25"/>
      <c r="X96" s="25"/>
    </row>
    <row r="97" spans="2:24">
      <c r="B97" s="25"/>
      <c r="C97" s="28"/>
      <c r="D97" s="27" t="s">
        <v>836</v>
      </c>
      <c r="E97" s="27"/>
      <c r="F97" s="25"/>
      <c r="G97" s="25"/>
      <c r="H97" s="25"/>
      <c r="I97" s="25"/>
      <c r="J97" s="25"/>
      <c r="K97" s="25"/>
      <c r="L97" s="25"/>
      <c r="M97" s="25"/>
      <c r="N97" s="25"/>
      <c r="O97" s="25"/>
      <c r="P97" s="25"/>
      <c r="Q97" s="25"/>
      <c r="R97" s="25"/>
      <c r="S97" s="25"/>
      <c r="T97" s="25"/>
      <c r="U97" s="25"/>
      <c r="V97" s="25"/>
      <c r="W97" s="25"/>
      <c r="X97" s="25"/>
    </row>
    <row r="98" spans="2:24">
      <c r="B98" s="25" t="s">
        <v>732</v>
      </c>
      <c r="C98" s="220" t="s">
        <v>733</v>
      </c>
      <c r="D98" s="25" t="s">
        <v>837</v>
      </c>
      <c r="E98" s="25"/>
      <c r="F98" s="25"/>
      <c r="G98" s="25"/>
      <c r="H98" s="25"/>
      <c r="I98" s="25"/>
      <c r="J98" s="25"/>
      <c r="K98" s="25"/>
      <c r="L98" s="25"/>
      <c r="M98" s="25"/>
      <c r="N98" s="25"/>
      <c r="O98" s="25"/>
      <c r="P98" s="25"/>
      <c r="Q98" s="25"/>
      <c r="R98" s="25"/>
      <c r="S98" s="25"/>
      <c r="T98" s="25"/>
      <c r="U98" s="25"/>
      <c r="V98" s="25"/>
      <c r="W98" s="25"/>
      <c r="X98" s="25"/>
    </row>
    <row r="99" spans="2:24">
      <c r="B99" s="25"/>
      <c r="C99" s="29"/>
      <c r="D99" s="25" t="s">
        <v>838</v>
      </c>
      <c r="E99" s="25"/>
      <c r="F99" s="25"/>
      <c r="G99" s="25"/>
      <c r="H99" s="25"/>
      <c r="I99" s="25"/>
      <c r="J99" s="25"/>
      <c r="K99" s="25"/>
      <c r="L99" s="25"/>
      <c r="M99" s="25"/>
      <c r="N99" s="25"/>
      <c r="O99" s="25"/>
      <c r="P99" s="25"/>
      <c r="Q99" s="25"/>
      <c r="R99" s="25"/>
      <c r="S99" s="25"/>
      <c r="T99" s="25"/>
      <c r="U99" s="25"/>
      <c r="V99" s="25"/>
      <c r="W99" s="25"/>
      <c r="X99" s="25"/>
    </row>
    <row r="100" spans="2:24">
      <c r="B100" s="25"/>
      <c r="C100" s="25" t="s">
        <v>839</v>
      </c>
      <c r="D100" s="27" t="s">
        <v>840</v>
      </c>
      <c r="E100" s="27"/>
      <c r="F100" s="25"/>
      <c r="G100" s="25"/>
      <c r="H100" s="25"/>
      <c r="I100" s="25"/>
      <c r="J100" s="25"/>
      <c r="K100" s="25"/>
      <c r="L100" s="25"/>
      <c r="M100" s="25"/>
      <c r="N100" s="25"/>
      <c r="O100" s="25"/>
      <c r="P100" s="25"/>
      <c r="Q100" s="25"/>
      <c r="R100" s="25"/>
      <c r="S100" s="25"/>
      <c r="T100" s="25"/>
      <c r="U100" s="25"/>
      <c r="V100" s="25"/>
      <c r="W100" s="25"/>
      <c r="X100" s="25"/>
    </row>
  </sheetData>
  <mergeCells count="6">
    <mergeCell ref="F4:I4"/>
    <mergeCell ref="F48:I48"/>
    <mergeCell ref="J48:L48"/>
    <mergeCell ref="M48:Q48"/>
    <mergeCell ref="R48:T48"/>
    <mergeCell ref="V48:X48"/>
  </mergeCells>
  <pageMargins left="0.75" right="0.75" top="1" bottom="1" header="0.5" footer="0.5"/>
  <headerFooter/>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内容释放节奏">
    <tabColor rgb="FFFFFFFF"/>
  </sheetPr>
  <dimension ref="A1:XFC551"/>
  <sheetViews>
    <sheetView showGridLines="0" topLeftCell="A50" workbookViewId="0">
      <selection activeCell="H38" sqref="H38"/>
    </sheetView>
  </sheetViews>
  <sheetFormatPr defaultColWidth="10.2857142857143" defaultRowHeight="16.5"/>
  <cols>
    <col min="1" max="1" width="10.2857142857143" style="17"/>
    <col min="2" max="2" width="3" style="17" customWidth="1"/>
    <col min="3" max="3" width="10.2857142857143" style="17"/>
    <col min="4" max="4" width="20.2857142857143" style="17" customWidth="1"/>
    <col min="5" max="5" width="11.7142857142857" style="17" customWidth="1"/>
    <col min="6" max="6" width="19.5714285714286" style="17" customWidth="1"/>
    <col min="7" max="8" width="22.1428571428571" style="17" customWidth="1"/>
    <col min="9" max="9" width="19.8571428571429" style="17" customWidth="1"/>
    <col min="10" max="10" width="10.2857142857143" style="17"/>
    <col min="11" max="11" width="12.8571428571429" style="17"/>
    <col min="12" max="12" width="17" style="17" customWidth="1"/>
    <col min="13" max="13" width="16.5714285714286" style="17" customWidth="1"/>
    <col min="14" max="14" width="25.7142857142857" style="17" customWidth="1"/>
    <col min="15" max="16381" width="10.2857142857143" style="17"/>
  </cols>
  <sheetData>
    <row r="1" spans="1:14 16382:16383">
      <c r="XFB1" s="17"/>
      <c r="XFC1" s="17"/>
    </row>
    <row r="2" spans="1:14 16382:16383">
      <c r="B2" s="18"/>
      <c r="C2" s="17" t="s">
        <v>841</v>
      </c>
      <c r="XFB2" s="17"/>
      <c r="XFC2" s="17"/>
    </row>
    <row r="3" spans="1:14 16382:16383">
      <c r="XFB3" s="17"/>
      <c r="XFC3" s="17"/>
    </row>
    <row r="4" spans="1:14 16382:16383">
      <c r="D4" s="175" t="s">
        <v>842</v>
      </c>
      <c r="E4" s="175" t="s">
        <v>311</v>
      </c>
      <c r="F4" s="175" t="s">
        <v>570</v>
      </c>
      <c r="G4" s="175" t="s">
        <v>843</v>
      </c>
      <c r="H4" s="175" t="s">
        <v>464</v>
      </c>
      <c r="XFC4" s="17"/>
    </row>
    <row r="5" spans="1:14 16382:16383">
      <c r="D5" s="176">
        <v>1</v>
      </c>
      <c r="E5" s="176">
        <f ca="1" t="shared" ref="E5:E10" si="0">VLOOKUP(D5,$D$52:$H$551,4,0)</f>
        <v>12</v>
      </c>
      <c r="F5" s="176"/>
      <c r="G5" s="176"/>
      <c r="H5" s="176"/>
      <c r="XFC5" s="17"/>
    </row>
    <row r="6" spans="1:14 16382:16383">
      <c r="D6" s="176">
        <v>7</v>
      </c>
      <c r="E6" s="176">
        <f ca="1" t="shared" si="0"/>
        <v>32</v>
      </c>
      <c r="F6" s="176"/>
      <c r="G6" s="176"/>
      <c r="H6" s="176"/>
      <c r="XFC6" s="17"/>
    </row>
    <row r="7" spans="1:14 16382:16383">
      <c r="D7" s="176">
        <v>30</v>
      </c>
      <c r="E7" s="176">
        <f ca="1" t="shared" si="0"/>
        <v>59</v>
      </c>
      <c r="F7" s="176"/>
      <c r="G7" s="176"/>
      <c r="H7" s="177"/>
      <c r="XFC7" s="17"/>
    </row>
    <row r="8" spans="1:14 16382:16383">
      <c r="D8" s="176">
        <v>60</v>
      </c>
      <c r="E8" s="176">
        <f ca="1" t="shared" si="0"/>
        <v>81</v>
      </c>
      <c r="F8" s="176"/>
      <c r="G8" s="176"/>
      <c r="H8" s="177"/>
      <c r="XFC8" s="17"/>
    </row>
    <row r="9" spans="1:14 16382:16383">
      <c r="D9" s="176">
        <v>90</v>
      </c>
      <c r="E9" s="176">
        <f ca="1" t="shared" si="0"/>
        <v>92</v>
      </c>
      <c r="F9" s="176"/>
      <c r="G9" s="176"/>
      <c r="H9" s="176"/>
      <c r="XFC9" s="17"/>
    </row>
    <row r="10" spans="1:14 16382:16383">
      <c r="D10" s="176">
        <v>120</v>
      </c>
      <c r="E10" s="176">
        <f ca="1" t="shared" si="0"/>
        <v>102</v>
      </c>
      <c r="F10" s="176"/>
      <c r="G10" s="176"/>
      <c r="H10" s="176"/>
      <c r="XFC10" s="17"/>
    </row>
    <row r="11" spans="1:14 16382:16383">
      <c r="XFB11" s="17"/>
      <c r="XFC11" s="17"/>
    </row>
    <row r="12" spans="1:14 16382:16383">
      <c r="XFB12" s="17"/>
      <c r="XFC12" s="17"/>
    </row>
    <row r="13" customFormat="1" ht="15.75" spans="1:14 16382:16383">
      <c r="A13" s="178"/>
      <c r="B13" s="179"/>
      <c r="C13" s="180" t="s">
        <v>844</v>
      </c>
      <c r="D13" s="181"/>
      <c r="E13" s="181"/>
      <c r="F13" s="181"/>
      <c r="G13" s="181"/>
      <c r="H13" s="181"/>
      <c r="I13" s="181"/>
      <c r="J13" s="181"/>
      <c r="K13" s="181"/>
      <c r="L13" s="181"/>
      <c r="M13" s="181"/>
      <c r="N13" s="181"/>
    </row>
    <row r="14" customFormat="1" ht="15.75" spans="1:14 16382:16383">
      <c r="A14" s="178"/>
      <c r="B14" s="178"/>
      <c r="C14" s="182"/>
      <c r="D14" s="181"/>
      <c r="E14" s="181"/>
      <c r="F14" s="181"/>
      <c r="G14" s="181"/>
      <c r="H14" s="181"/>
      <c r="I14" s="181"/>
      <c r="J14" s="181"/>
      <c r="K14" s="181"/>
      <c r="L14" s="181"/>
      <c r="M14" s="181"/>
      <c r="N14" s="181"/>
    </row>
    <row r="15" customFormat="1" ht="15.75" spans="1:14 16382:16383">
      <c r="A15" s="178"/>
      <c r="B15" s="178"/>
      <c r="C15" s="182" t="s">
        <v>845</v>
      </c>
      <c r="D15" s="181" t="s">
        <v>846</v>
      </c>
      <c r="E15" s="181"/>
      <c r="F15" s="181"/>
      <c r="G15" s="181"/>
      <c r="H15" s="181"/>
      <c r="I15" s="181"/>
      <c r="J15" s="181"/>
      <c r="K15" s="181"/>
      <c r="L15" s="181"/>
      <c r="M15" s="181"/>
      <c r="N15" s="181"/>
    </row>
    <row r="16" customFormat="1" ht="15.75" spans="1:14 16382:16383">
      <c r="A16" s="178"/>
      <c r="B16" s="178"/>
      <c r="C16" s="182"/>
      <c r="D16" s="183" t="s">
        <v>847</v>
      </c>
      <c r="E16" s="183" t="s">
        <v>848</v>
      </c>
      <c r="F16" s="181"/>
      <c r="G16" s="181"/>
      <c r="H16" s="181"/>
      <c r="I16" s="181"/>
      <c r="J16" s="181"/>
      <c r="K16" s="181"/>
      <c r="L16" s="181"/>
      <c r="M16" s="181"/>
      <c r="N16" s="181"/>
    </row>
    <row r="17" customFormat="1" ht="15.75" spans="1:22">
      <c r="A17" s="178"/>
      <c r="B17" s="178"/>
      <c r="C17" s="182"/>
      <c r="D17" s="184" t="s">
        <v>416</v>
      </c>
      <c r="E17" s="185">
        <f>H27/10</f>
        <v>40</v>
      </c>
      <c r="F17" s="181"/>
      <c r="G17" s="181"/>
      <c r="H17" s="181"/>
      <c r="I17" s="181"/>
      <c r="J17" s="181"/>
      <c r="K17" s="181"/>
      <c r="L17" s="181"/>
      <c r="M17" s="181"/>
      <c r="N17" s="181"/>
    </row>
    <row r="18" customFormat="1" ht="15.75" spans="1:22">
      <c r="A18" s="178"/>
      <c r="B18" s="178"/>
      <c r="C18" s="182"/>
      <c r="D18" s="184" t="s">
        <v>849</v>
      </c>
      <c r="E18" s="185">
        <f>H31/10</f>
        <v>46</v>
      </c>
      <c r="F18" s="181"/>
      <c r="G18" s="181"/>
      <c r="H18" s="181"/>
      <c r="I18" s="181"/>
      <c r="J18" s="181"/>
      <c r="K18" s="181"/>
      <c r="L18" s="181"/>
      <c r="M18" s="181"/>
      <c r="N18" s="181"/>
    </row>
    <row r="19" customFormat="1" ht="15.75" spans="1:22">
      <c r="A19" s="178"/>
      <c r="B19" s="178"/>
      <c r="C19" s="182"/>
      <c r="D19" s="184" t="s">
        <v>239</v>
      </c>
      <c r="E19" s="185">
        <f>H34/10</f>
        <v>71.2857142857143</v>
      </c>
      <c r="F19" s="181"/>
      <c r="G19" s="181"/>
      <c r="H19" s="181"/>
      <c r="I19" s="181"/>
      <c r="J19" s="181"/>
      <c r="K19" s="181"/>
      <c r="L19" s="181"/>
      <c r="M19" s="181"/>
      <c r="N19" s="181"/>
    </row>
    <row r="20" customFormat="1" ht="15.75" spans="1:22">
      <c r="A20" s="178"/>
      <c r="B20" s="178"/>
      <c r="C20" s="182"/>
      <c r="D20" s="181"/>
      <c r="E20" s="181"/>
      <c r="F20" s="181"/>
      <c r="G20" s="181"/>
      <c r="H20" s="181"/>
      <c r="I20" s="181"/>
      <c r="J20" s="181"/>
      <c r="K20" s="181"/>
      <c r="L20" s="181"/>
      <c r="M20" s="181"/>
      <c r="N20" s="181"/>
    </row>
    <row r="21" customFormat="1" ht="15.75" spans="1:22">
      <c r="A21" s="178"/>
      <c r="B21" s="178"/>
      <c r="C21" s="182"/>
      <c r="D21" s="181"/>
      <c r="E21" s="181"/>
      <c r="F21" s="181"/>
      <c r="G21" s="181"/>
      <c r="H21" s="181"/>
      <c r="I21" s="181"/>
      <c r="J21" s="181"/>
      <c r="K21" s="181"/>
      <c r="L21" s="181"/>
      <c r="M21" s="181"/>
      <c r="N21" s="181"/>
    </row>
    <row r="22" customFormat="1" ht="15" customHeight="1" spans="1:22">
      <c r="A22" s="181"/>
      <c r="B22" s="181"/>
      <c r="C22" s="186"/>
      <c r="D22" s="183" t="s">
        <v>847</v>
      </c>
      <c r="E22" s="183" t="s">
        <v>848</v>
      </c>
      <c r="F22" s="183" t="s">
        <v>850</v>
      </c>
      <c r="G22" s="187" t="s">
        <v>851</v>
      </c>
      <c r="H22" s="187" t="s">
        <v>852</v>
      </c>
      <c r="I22" s="187" t="s">
        <v>853</v>
      </c>
      <c r="J22" s="187" t="s">
        <v>854</v>
      </c>
      <c r="K22" s="187" t="s">
        <v>855</v>
      </c>
      <c r="L22" s="188" t="s">
        <v>856</v>
      </c>
      <c r="M22" s="189" t="s">
        <v>184</v>
      </c>
      <c r="N22" s="181"/>
    </row>
    <row r="23" customFormat="1" ht="15.75" spans="1:22">
      <c r="A23" s="181"/>
      <c r="B23" s="181"/>
      <c r="C23" s="186"/>
      <c r="D23" s="184" t="s">
        <v>857</v>
      </c>
      <c r="E23" s="185">
        <v>0</v>
      </c>
      <c r="F23" s="190">
        <v>60</v>
      </c>
      <c r="G23" s="191"/>
      <c r="H23" s="185"/>
      <c r="I23" s="185">
        <v>0</v>
      </c>
      <c r="J23" s="185"/>
      <c r="K23" s="192" t="s">
        <v>858</v>
      </c>
      <c r="L23" s="190"/>
      <c r="M23" s="193"/>
      <c r="N23" s="181"/>
      <c r="R23" s="194"/>
      <c r="S23" s="194"/>
      <c r="T23" s="194"/>
      <c r="U23" s="194"/>
      <c r="V23" s="194"/>
    </row>
    <row r="24" customFormat="1" ht="15.75" spans="1:22">
      <c r="A24" s="181"/>
      <c r="B24" s="181"/>
      <c r="C24" s="186"/>
      <c r="D24" s="184" t="s">
        <v>859</v>
      </c>
      <c r="E24" s="185">
        <f>10*24</f>
        <v>240</v>
      </c>
      <c r="F24" s="190">
        <v>1</v>
      </c>
      <c r="G24" s="185">
        <f t="shared" ref="G24:G34" si="1">E24*F24</f>
        <v>240</v>
      </c>
      <c r="H24" s="185">
        <f>G24</f>
        <v>240</v>
      </c>
      <c r="I24" s="185">
        <v>0</v>
      </c>
      <c r="J24" s="185"/>
      <c r="K24" s="192" t="s">
        <v>858</v>
      </c>
      <c r="L24" s="190"/>
      <c r="M24" s="193"/>
      <c r="R24" s="194"/>
      <c r="S24" s="194"/>
      <c r="T24" s="194"/>
      <c r="U24" s="194"/>
      <c r="V24" s="194"/>
    </row>
    <row r="25" customFormat="1" ht="15.75" spans="1:22">
      <c r="A25" s="181"/>
      <c r="B25" s="181"/>
      <c r="C25" s="186"/>
      <c r="D25" s="184" t="s">
        <v>860</v>
      </c>
      <c r="E25" s="185">
        <v>3</v>
      </c>
      <c r="F25" s="185">
        <v>10</v>
      </c>
      <c r="G25" s="185">
        <f t="shared" si="1"/>
        <v>30</v>
      </c>
      <c r="H25" s="185">
        <f t="shared" ref="H25:H34" si="2">G25+H24</f>
        <v>270</v>
      </c>
      <c r="I25" s="185">
        <v>0</v>
      </c>
      <c r="J25" s="185"/>
      <c r="K25" s="192" t="s">
        <v>858</v>
      </c>
      <c r="L25" s="190"/>
      <c r="M25" s="193"/>
      <c r="N25" s="181"/>
    </row>
    <row r="26" customFormat="1" ht="15.75" spans="1:22">
      <c r="A26" s="181"/>
      <c r="B26" s="181"/>
      <c r="C26" s="186"/>
      <c r="D26" s="184" t="s">
        <v>861</v>
      </c>
      <c r="E26" s="185">
        <v>4</v>
      </c>
      <c r="F26" s="185">
        <v>30</v>
      </c>
      <c r="G26" s="185">
        <f t="shared" si="1"/>
        <v>120</v>
      </c>
      <c r="H26" s="185">
        <f t="shared" si="2"/>
        <v>390</v>
      </c>
      <c r="I26" s="192">
        <v>0</v>
      </c>
      <c r="J26" s="192"/>
      <c r="K26" s="192" t="s">
        <v>858</v>
      </c>
      <c r="L26" s="190"/>
      <c r="M26" s="193"/>
      <c r="N26" s="181"/>
    </row>
    <row r="27" customFormat="1" ht="15.75" spans="1:22">
      <c r="A27" s="181"/>
      <c r="B27" s="181"/>
      <c r="C27" s="186"/>
      <c r="D27" s="184" t="s">
        <v>862</v>
      </c>
      <c r="E27" s="185">
        <v>1</v>
      </c>
      <c r="F27" s="185">
        <v>10</v>
      </c>
      <c r="G27" s="185">
        <f t="shared" si="1"/>
        <v>10</v>
      </c>
      <c r="H27" s="185">
        <f t="shared" si="2"/>
        <v>400</v>
      </c>
      <c r="I27" s="192">
        <v>0</v>
      </c>
      <c r="J27" s="192"/>
      <c r="K27" s="192" t="s">
        <v>858</v>
      </c>
      <c r="L27" s="190"/>
      <c r="M27" s="193"/>
      <c r="N27" s="181"/>
    </row>
    <row r="28" customFormat="1" ht="15.75" spans="1:22">
      <c r="A28" s="181"/>
      <c r="B28" s="181"/>
      <c r="C28" s="186"/>
      <c r="D28" s="184" t="s">
        <v>863</v>
      </c>
      <c r="E28" s="185">
        <v>1</v>
      </c>
      <c r="F28" s="185">
        <v>10</v>
      </c>
      <c r="G28" s="185">
        <f t="shared" si="1"/>
        <v>10</v>
      </c>
      <c r="H28" s="185">
        <f t="shared" si="2"/>
        <v>410</v>
      </c>
      <c r="I28" s="192"/>
      <c r="J28" s="192">
        <v>1</v>
      </c>
      <c r="K28" s="192" t="s">
        <v>417</v>
      </c>
      <c r="L28" s="190"/>
      <c r="M28" s="193"/>
      <c r="N28" s="181"/>
    </row>
    <row r="29" customFormat="1" ht="15.75" spans="1:22">
      <c r="A29" s="181"/>
      <c r="B29" s="181"/>
      <c r="C29" s="186"/>
      <c r="D29" s="184" t="s">
        <v>864</v>
      </c>
      <c r="E29" s="185">
        <v>1</v>
      </c>
      <c r="F29" s="185">
        <v>10</v>
      </c>
      <c r="G29" s="185">
        <f t="shared" si="1"/>
        <v>10</v>
      </c>
      <c r="H29" s="185">
        <f t="shared" si="2"/>
        <v>420</v>
      </c>
      <c r="I29" s="192"/>
      <c r="J29" s="192">
        <v>1</v>
      </c>
      <c r="K29" s="192" t="s">
        <v>417</v>
      </c>
      <c r="L29" s="190" t="s">
        <v>865</v>
      </c>
      <c r="M29" s="193"/>
      <c r="N29" s="181"/>
    </row>
    <row r="30" customFormat="1" ht="15.75" spans="1:22">
      <c r="A30" s="181"/>
      <c r="B30" s="181"/>
      <c r="C30" s="186"/>
      <c r="D30" s="184" t="s">
        <v>866</v>
      </c>
      <c r="E30" s="185">
        <v>1</v>
      </c>
      <c r="F30" s="185">
        <v>15</v>
      </c>
      <c r="G30" s="185">
        <f t="shared" si="1"/>
        <v>15</v>
      </c>
      <c r="H30" s="185">
        <f t="shared" si="2"/>
        <v>435</v>
      </c>
      <c r="I30" s="192"/>
      <c r="J30" s="192">
        <v>6</v>
      </c>
      <c r="K30" s="192" t="s">
        <v>417</v>
      </c>
      <c r="L30" s="190" t="s">
        <v>865</v>
      </c>
      <c r="M30" s="193"/>
      <c r="N30" s="181"/>
    </row>
    <row r="31" customFormat="1" spans="1:22">
      <c r="A31" s="181"/>
      <c r="B31" s="181"/>
      <c r="C31" s="186"/>
      <c r="D31" s="184" t="s">
        <v>867</v>
      </c>
      <c r="E31" s="185">
        <v>1</v>
      </c>
      <c r="F31" s="185">
        <v>25</v>
      </c>
      <c r="G31" s="185">
        <f t="shared" si="1"/>
        <v>25</v>
      </c>
      <c r="H31" s="185">
        <f t="shared" si="2"/>
        <v>460</v>
      </c>
      <c r="I31" s="192"/>
      <c r="J31" s="192">
        <v>18</v>
      </c>
      <c r="K31" s="192" t="s">
        <v>417</v>
      </c>
      <c r="L31" s="190" t="s">
        <v>865</v>
      </c>
      <c r="M31" s="193"/>
      <c r="N31" s="17"/>
      <c r="O31" s="17"/>
    </row>
    <row r="32" customFormat="1" spans="1:22">
      <c r="A32" s="181"/>
      <c r="B32" s="181"/>
      <c r="C32" s="186"/>
      <c r="D32" s="184" t="s">
        <v>868</v>
      </c>
      <c r="E32" s="185">
        <v>1</v>
      </c>
      <c r="F32" s="185">
        <v>60</v>
      </c>
      <c r="G32" s="185">
        <f t="shared" si="1"/>
        <v>60</v>
      </c>
      <c r="H32" s="185">
        <f t="shared" si="2"/>
        <v>520</v>
      </c>
      <c r="I32" s="192">
        <v>96</v>
      </c>
      <c r="J32" s="192"/>
      <c r="K32" s="192" t="s">
        <v>262</v>
      </c>
      <c r="L32" s="190"/>
      <c r="M32" s="193"/>
      <c r="N32" s="17"/>
      <c r="O32" s="17"/>
    </row>
    <row r="33" customFormat="1" spans="1:15 16382:16383">
      <c r="A33" s="181"/>
      <c r="B33" s="181"/>
      <c r="C33" s="186"/>
      <c r="D33" s="184" t="s">
        <v>869</v>
      </c>
      <c r="E33" s="185">
        <f>1/7</f>
        <v>0.142857142857143</v>
      </c>
      <c r="F33" s="185">
        <f>60*5</f>
        <v>300</v>
      </c>
      <c r="G33" s="185">
        <f t="shared" si="1"/>
        <v>42.8571428571429</v>
      </c>
      <c r="H33" s="185">
        <f t="shared" si="2"/>
        <v>562.857142857143</v>
      </c>
      <c r="I33" s="192">
        <f>84*5</f>
        <v>420</v>
      </c>
      <c r="J33" s="192"/>
      <c r="K33" s="192" t="s">
        <v>262</v>
      </c>
      <c r="L33" s="190" t="s">
        <v>870</v>
      </c>
      <c r="M33" s="193"/>
      <c r="N33" s="17"/>
      <c r="O33" s="17"/>
    </row>
    <row r="34" customFormat="1" ht="15.75" spans="1:15 16382:16383">
      <c r="A34" s="181"/>
      <c r="B34" s="181"/>
      <c r="C34" s="186"/>
      <c r="D34" s="184" t="s">
        <v>871</v>
      </c>
      <c r="E34" s="185">
        <v>5</v>
      </c>
      <c r="F34" s="185">
        <v>30</v>
      </c>
      <c r="G34" s="185">
        <f t="shared" si="1"/>
        <v>150</v>
      </c>
      <c r="H34" s="185">
        <f t="shared" si="2"/>
        <v>712.857142857143</v>
      </c>
      <c r="I34" s="185">
        <v>60</v>
      </c>
      <c r="J34" s="191"/>
      <c r="K34" s="192" t="s">
        <v>239</v>
      </c>
      <c r="L34" s="190"/>
      <c r="M34" s="193"/>
    </row>
    <row r="35" customFormat="1" ht="15.75" spans="1:15 16382:16383">
      <c r="A35" s="181"/>
      <c r="B35" s="181"/>
      <c r="C35" s="186"/>
      <c r="D35" s="181"/>
      <c r="E35" s="181"/>
      <c r="F35" s="181"/>
      <c r="G35" s="181"/>
      <c r="H35" s="181"/>
      <c r="I35" s="181"/>
      <c r="J35" s="181"/>
      <c r="K35" s="181"/>
      <c r="L35" s="195"/>
      <c r="M35" s="181"/>
    </row>
    <row r="36" customFormat="1" ht="15.75" spans="1:15 16382:16383">
      <c r="A36" s="178"/>
      <c r="B36" s="179"/>
      <c r="C36" s="180" t="s">
        <v>872</v>
      </c>
      <c r="D36" s="181"/>
      <c r="E36" s="181"/>
      <c r="F36" s="181"/>
      <c r="G36" s="181"/>
      <c r="H36" s="181"/>
      <c r="I36" s="181"/>
      <c r="J36" s="181"/>
      <c r="K36" s="181"/>
      <c r="L36" s="181"/>
      <c r="M36" s="181"/>
    </row>
    <row r="37" customFormat="1" ht="15.75" spans="1:15 16382:16383">
      <c r="A37" s="178"/>
      <c r="B37" s="178"/>
      <c r="C37" s="182"/>
      <c r="D37" s="181"/>
      <c r="E37" s="181"/>
      <c r="F37" s="181"/>
      <c r="G37" s="181"/>
      <c r="H37" s="181"/>
      <c r="I37" s="181"/>
      <c r="J37" s="181"/>
      <c r="K37" s="181"/>
      <c r="L37" s="181"/>
      <c r="M37" s="181"/>
    </row>
    <row r="38" customFormat="1" ht="15.75" spans="1:15 16382:16383">
      <c r="A38" s="178"/>
      <c r="B38" s="178"/>
      <c r="C38" s="182" t="s">
        <v>845</v>
      </c>
      <c r="D38" s="181" t="s">
        <v>873</v>
      </c>
      <c r="E38" s="181"/>
      <c r="F38" s="181"/>
      <c r="G38" s="181"/>
      <c r="H38" s="181"/>
      <c r="I38" s="181"/>
      <c r="J38" s="181"/>
      <c r="K38" s="181"/>
      <c r="L38" s="181"/>
      <c r="M38" s="181"/>
    </row>
    <row r="39" customFormat="1" ht="15.75" spans="1:15 16382:16383">
      <c r="A39" s="181"/>
      <c r="B39" s="181"/>
      <c r="C39" s="186"/>
      <c r="D39" s="181"/>
      <c r="E39" s="181"/>
      <c r="F39" s="181"/>
      <c r="G39" s="181"/>
      <c r="L39" s="181"/>
    </row>
    <row r="40" customFormat="1" ht="15.75" spans="1:15 16382:16383">
      <c r="A40" s="181"/>
      <c r="B40" s="181"/>
      <c r="C40" s="186"/>
      <c r="D40" s="183" t="s">
        <v>847</v>
      </c>
      <c r="E40" s="183" t="s">
        <v>848</v>
      </c>
      <c r="F40" s="183" t="s">
        <v>874</v>
      </c>
    </row>
    <row r="41" customFormat="1" ht="15.75" spans="1:15 16382:16383">
      <c r="A41" s="181"/>
      <c r="B41" s="181"/>
      <c r="C41" s="186"/>
      <c r="D41" s="184" t="s">
        <v>875</v>
      </c>
      <c r="E41" s="184">
        <v>1</v>
      </c>
      <c r="F41" s="196" t="s">
        <v>876</v>
      </c>
    </row>
    <row r="42" customFormat="1" ht="15.75" spans="1:15 16382:16383">
      <c r="A42" s="181"/>
      <c r="B42" s="181"/>
      <c r="C42" s="186"/>
      <c r="D42" s="184" t="s">
        <v>877</v>
      </c>
      <c r="E42" s="184">
        <v>3</v>
      </c>
      <c r="F42" s="196" t="s">
        <v>876</v>
      </c>
    </row>
    <row r="43" customFormat="1" ht="15.75" spans="1:15 16382:16383">
      <c r="A43" s="181"/>
      <c r="B43" s="181"/>
      <c r="C43" s="186"/>
      <c r="D43" s="184" t="s">
        <v>878</v>
      </c>
      <c r="E43" s="184" t="s">
        <v>879</v>
      </c>
      <c r="F43" s="196" t="s">
        <v>876</v>
      </c>
    </row>
    <row r="44" customFormat="1" ht="15.75" spans="1:15 16382:16383">
      <c r="A44" s="181"/>
      <c r="B44" s="181"/>
      <c r="C44" s="186"/>
      <c r="D44" s="184" t="s">
        <v>880</v>
      </c>
      <c r="E44" s="184" t="s">
        <v>879</v>
      </c>
      <c r="F44" s="196" t="s">
        <v>881</v>
      </c>
    </row>
    <row r="45" spans="1:15 16382:16383">
      <c r="XFB45" s="17"/>
      <c r="XFC45" s="17"/>
    </row>
    <row r="46" spans="1:15 16382:16383">
      <c r="XFB46" s="17"/>
      <c r="XFC46" s="17"/>
    </row>
    <row r="47" spans="1:15 16382:16383">
      <c r="B47" s="18"/>
      <c r="C47" s="17" t="s">
        <v>882</v>
      </c>
      <c r="XFB47" s="17"/>
      <c r="XFC47" s="17"/>
    </row>
    <row r="48" spans="1:15 16382:16383">
      <c r="XFB48" s="17"/>
      <c r="XFC48" s="17"/>
    </row>
    <row r="49" spans="4:13 16382:16383">
      <c r="XFB49" s="17"/>
      <c r="XFC49" s="17"/>
    </row>
    <row r="50" spans="4:13 16382:16383">
      <c r="XFB50" s="17"/>
      <c r="XFC50" s="17"/>
    </row>
    <row r="51" spans="4:13 16382:16383">
      <c r="D51" s="175" t="s">
        <v>296</v>
      </c>
      <c r="E51" s="175" t="s">
        <v>883</v>
      </c>
      <c r="F51" s="175" t="s">
        <v>311</v>
      </c>
      <c r="G51" s="175" t="s">
        <v>884</v>
      </c>
      <c r="H51" s="175" t="s">
        <v>885</v>
      </c>
      <c r="XFB51" s="17"/>
    </row>
    <row r="52" spans="4:13 16382:16383">
      <c r="D52" s="176">
        <v>1</v>
      </c>
      <c r="E52" s="176">
        <f ca="1">OFFSET(养成框架!$R$63,MATCH(D52,养成框架!$D$64:$D$96,1),0)</f>
        <v>12</v>
      </c>
      <c r="F52" s="176">
        <f ca="1">E52</f>
        <v>12</v>
      </c>
      <c r="G52" s="197">
        <f ca="1" t="shared" ref="G52:G115" si="3">INT(F52)</f>
        <v>12</v>
      </c>
      <c r="H52" s="19">
        <f ca="1">OFFSET($L$51,MATCH(F52,$K$52:$K$81,1),0)</f>
        <v>12</v>
      </c>
      <c r="I52" s="19">
        <v>8</v>
      </c>
      <c r="J52" s="17">
        <f ca="1">OFFSET($L$51,MATCH(I52,$K$52:$K$81,1),0)</f>
        <v>8</v>
      </c>
      <c r="K52" s="17">
        <v>1</v>
      </c>
      <c r="L52" s="17">
        <v>6</v>
      </c>
      <c r="M52" s="19">
        <v>12</v>
      </c>
      <c r="XFB52" s="17"/>
    </row>
    <row r="53" spans="4:13 16382:16383">
      <c r="D53" s="176">
        <v>2</v>
      </c>
      <c r="E53" s="176">
        <f ca="1">OFFSET(养成框架!$R$63,MATCH(D53,养成框架!$D$64:$D$96,1),0)</f>
        <v>6</v>
      </c>
      <c r="F53" s="176">
        <f ca="1" t="shared" ref="F53:F116" si="4">E53+F52</f>
        <v>18</v>
      </c>
      <c r="G53" s="197">
        <f ca="1" t="shared" si="3"/>
        <v>18</v>
      </c>
      <c r="H53" s="19">
        <f ca="1" t="shared" ref="H53:H116" si="5">OFFSET($L$51,MATCH(F53,$K$52:$K$81,1),0)</f>
        <v>18</v>
      </c>
      <c r="I53" s="19">
        <v>12</v>
      </c>
      <c r="J53" s="17">
        <f ca="1" t="shared" ref="J53:J116" si="6">OFFSET($L$51,MATCH(I53,$K$52:$K$81,1),0)</f>
        <v>12</v>
      </c>
      <c r="K53" s="17">
        <v>2</v>
      </c>
      <c r="L53" s="17">
        <v>6</v>
      </c>
      <c r="M53" s="19">
        <v>16</v>
      </c>
      <c r="XFB53" s="17"/>
    </row>
    <row r="54" spans="4:13 16382:16383">
      <c r="D54" s="176">
        <v>3</v>
      </c>
      <c r="E54" s="176">
        <f ca="1">OFFSET(养成框架!$R$63,MATCH(D54,养成框架!$D$64:$D$96,1),0)</f>
        <v>4</v>
      </c>
      <c r="F54" s="176">
        <f ca="1" t="shared" si="4"/>
        <v>22</v>
      </c>
      <c r="G54" s="197">
        <f ca="1" t="shared" si="3"/>
        <v>22</v>
      </c>
      <c r="H54" s="19">
        <f ca="1" t="shared" si="5"/>
        <v>21</v>
      </c>
      <c r="I54" s="19">
        <v>15</v>
      </c>
      <c r="J54" s="17">
        <f ca="1" t="shared" si="6"/>
        <v>15</v>
      </c>
      <c r="K54" s="17">
        <v>3</v>
      </c>
      <c r="L54" s="17">
        <v>6</v>
      </c>
      <c r="M54" s="19">
        <v>18</v>
      </c>
      <c r="XFB54" s="17"/>
    </row>
    <row r="55" spans="4:13 16382:16383">
      <c r="D55" s="176">
        <v>4</v>
      </c>
      <c r="E55" s="176">
        <f ca="1">OFFSET(养成框架!$R$63,MATCH(D55,养成框架!$D$64:$D$96,1),0)</f>
        <v>3</v>
      </c>
      <c r="F55" s="176">
        <f ca="1" t="shared" si="4"/>
        <v>25</v>
      </c>
      <c r="G55" s="197">
        <f ca="1" t="shared" si="3"/>
        <v>25</v>
      </c>
      <c r="H55" s="19">
        <f ca="1" t="shared" si="5"/>
        <v>22</v>
      </c>
      <c r="I55" s="19">
        <v>18</v>
      </c>
      <c r="J55" s="17">
        <f ca="1" t="shared" si="6"/>
        <v>18</v>
      </c>
      <c r="K55" s="17">
        <v>4</v>
      </c>
      <c r="L55" s="17">
        <v>6</v>
      </c>
      <c r="M55" s="19">
        <v>21</v>
      </c>
      <c r="XFB55" s="17"/>
    </row>
    <row r="56" spans="4:13 16382:16383">
      <c r="D56" s="176">
        <v>5</v>
      </c>
      <c r="E56" s="176">
        <f ca="1">OFFSET(养成框架!$R$63,MATCH(D56,养成框架!$D$64:$D$96,1),0)</f>
        <v>3</v>
      </c>
      <c r="F56" s="176">
        <f ca="1" t="shared" si="4"/>
        <v>28</v>
      </c>
      <c r="G56" s="197">
        <f ca="1" t="shared" si="3"/>
        <v>28</v>
      </c>
      <c r="H56" s="19">
        <f ca="1" t="shared" si="5"/>
        <v>24</v>
      </c>
      <c r="I56" s="19">
        <v>20</v>
      </c>
      <c r="J56" s="17">
        <f ca="1" t="shared" si="6"/>
        <v>20</v>
      </c>
      <c r="K56" s="17">
        <v>5</v>
      </c>
      <c r="L56" s="17">
        <v>6</v>
      </c>
      <c r="M56" s="19">
        <v>23</v>
      </c>
      <c r="XFB56" s="17"/>
    </row>
    <row r="57" spans="4:13 16382:16383">
      <c r="D57" s="176">
        <v>6</v>
      </c>
      <c r="E57" s="176">
        <f ca="1">OFFSET(养成框架!$R$63,MATCH(D57,养成框架!$D$64:$D$96,1),0)</f>
        <v>2</v>
      </c>
      <c r="F57" s="176">
        <f ca="1" t="shared" si="4"/>
        <v>30</v>
      </c>
      <c r="G57" s="197">
        <f ca="1" t="shared" si="3"/>
        <v>30</v>
      </c>
      <c r="H57" s="19">
        <f ca="1" t="shared" si="5"/>
        <v>25</v>
      </c>
      <c r="I57" s="19">
        <v>22</v>
      </c>
      <c r="J57" s="17">
        <f ca="1" t="shared" si="6"/>
        <v>21</v>
      </c>
      <c r="K57" s="17">
        <v>6</v>
      </c>
      <c r="L57" s="17">
        <v>6</v>
      </c>
      <c r="M57" s="19">
        <v>24</v>
      </c>
      <c r="XFB57" s="17"/>
    </row>
    <row r="58" spans="4:13 16382:16383">
      <c r="D58" s="176">
        <v>7</v>
      </c>
      <c r="E58" s="176">
        <f ca="1">OFFSET(养成框架!$R$63,MATCH(D58,养成框架!$D$64:$D$96,1),0)</f>
        <v>2</v>
      </c>
      <c r="F58" s="176">
        <f ca="1" t="shared" si="4"/>
        <v>32</v>
      </c>
      <c r="G58" s="197">
        <f ca="1" t="shared" si="3"/>
        <v>32</v>
      </c>
      <c r="H58" s="19">
        <f ca="1" t="shared" si="5"/>
        <v>26</v>
      </c>
      <c r="I58" s="19">
        <v>23</v>
      </c>
      <c r="J58" s="17">
        <f ca="1" t="shared" si="6"/>
        <v>21</v>
      </c>
      <c r="K58" s="17">
        <v>7</v>
      </c>
      <c r="L58" s="17">
        <v>7</v>
      </c>
      <c r="M58" s="19">
        <v>25</v>
      </c>
      <c r="XFB58" s="17"/>
    </row>
    <row r="59" spans="4:13 16382:16383">
      <c r="D59" s="176">
        <v>8</v>
      </c>
      <c r="E59" s="176">
        <f ca="1">OFFSET(养成框架!$R$63,MATCH(D59,养成框架!$D$64:$D$96,1),0)</f>
        <v>2</v>
      </c>
      <c r="F59" s="176">
        <f ca="1" t="shared" si="4"/>
        <v>34</v>
      </c>
      <c r="G59" s="197">
        <f ca="1" t="shared" si="3"/>
        <v>34</v>
      </c>
      <c r="H59" s="19">
        <f ca="1" t="shared" si="5"/>
        <v>27</v>
      </c>
      <c r="I59" s="19">
        <v>25</v>
      </c>
      <c r="J59" s="17">
        <f ca="1" t="shared" si="6"/>
        <v>22</v>
      </c>
      <c r="K59" s="17">
        <v>8</v>
      </c>
      <c r="L59" s="17">
        <v>8</v>
      </c>
      <c r="M59" s="19">
        <v>26</v>
      </c>
      <c r="XFB59" s="17"/>
    </row>
    <row r="60" spans="4:13 16382:16383">
      <c r="D60" s="176">
        <v>9</v>
      </c>
      <c r="E60" s="176">
        <f ca="1">OFFSET(养成框架!$R$63,MATCH(D60,养成框架!$D$64:$D$96,1),0)</f>
        <v>2</v>
      </c>
      <c r="F60" s="176">
        <f ca="1" t="shared" si="4"/>
        <v>36</v>
      </c>
      <c r="G60" s="197">
        <f ca="1" t="shared" si="3"/>
        <v>36</v>
      </c>
      <c r="H60" s="19">
        <f ca="1" t="shared" si="5"/>
        <v>28</v>
      </c>
      <c r="I60" s="19">
        <v>27</v>
      </c>
      <c r="J60" s="17">
        <f ca="1" t="shared" si="6"/>
        <v>23</v>
      </c>
      <c r="K60" s="17">
        <v>9</v>
      </c>
      <c r="L60" s="17">
        <v>9</v>
      </c>
      <c r="M60" s="19">
        <v>27</v>
      </c>
      <c r="XFB60" s="17"/>
    </row>
    <row r="61" spans="4:13 16382:16383">
      <c r="D61" s="176">
        <v>10</v>
      </c>
      <c r="E61" s="176">
        <f ca="1">OFFSET(养成框架!$R$63,MATCH(D61,养成框架!$D$64:$D$96,1),0)</f>
        <v>2</v>
      </c>
      <c r="F61" s="176">
        <f ca="1" t="shared" si="4"/>
        <v>38</v>
      </c>
      <c r="G61" s="197">
        <f ca="1" t="shared" si="3"/>
        <v>38</v>
      </c>
      <c r="H61" s="19">
        <f ca="1" t="shared" si="5"/>
        <v>29</v>
      </c>
      <c r="I61" s="19">
        <v>28</v>
      </c>
      <c r="J61" s="17">
        <f ca="1" t="shared" si="6"/>
        <v>24</v>
      </c>
      <c r="K61" s="17">
        <v>10</v>
      </c>
      <c r="L61" s="17">
        <v>10</v>
      </c>
      <c r="M61" s="19">
        <v>28</v>
      </c>
      <c r="XFB61" s="17"/>
    </row>
    <row r="62" spans="4:13 16382:16383">
      <c r="D62" s="176">
        <v>11</v>
      </c>
      <c r="E62" s="176">
        <f ca="1">OFFSET(养成框架!$R$63,MATCH(D62,养成框架!$D$64:$D$96,1),0)</f>
        <v>2</v>
      </c>
      <c r="F62" s="176">
        <f ca="1" t="shared" si="4"/>
        <v>40</v>
      </c>
      <c r="G62" s="197">
        <f ca="1" t="shared" si="3"/>
        <v>40</v>
      </c>
      <c r="H62" s="19">
        <f ca="1" t="shared" si="5"/>
        <v>30</v>
      </c>
      <c r="I62" s="19">
        <v>29</v>
      </c>
      <c r="J62" s="17">
        <f ca="1" t="shared" si="6"/>
        <v>24</v>
      </c>
      <c r="K62" s="17">
        <v>11</v>
      </c>
      <c r="L62" s="17">
        <v>11</v>
      </c>
      <c r="M62" s="19">
        <v>29</v>
      </c>
      <c r="XFB62" s="17"/>
    </row>
    <row r="63" spans="4:13 16382:16383">
      <c r="D63" s="176">
        <v>12</v>
      </c>
      <c r="E63" s="176">
        <f ca="1">OFFSET(养成框架!$R$63,MATCH(D63,养成框架!$D$64:$D$96,1),0)</f>
        <v>2</v>
      </c>
      <c r="F63" s="176">
        <f ca="1" t="shared" si="4"/>
        <v>42</v>
      </c>
      <c r="G63" s="197">
        <f ca="1" t="shared" si="3"/>
        <v>42</v>
      </c>
      <c r="H63" s="19">
        <f ca="1" t="shared" si="5"/>
        <v>30</v>
      </c>
      <c r="I63" s="19">
        <v>30</v>
      </c>
      <c r="J63" s="17">
        <f ca="1" t="shared" si="6"/>
        <v>25</v>
      </c>
      <c r="K63" s="17">
        <v>12</v>
      </c>
      <c r="L63" s="17">
        <v>12</v>
      </c>
      <c r="M63" s="19">
        <v>30</v>
      </c>
      <c r="XFB63" s="17"/>
    </row>
    <row r="64" spans="4:13 16382:16383">
      <c r="D64" s="176">
        <v>13</v>
      </c>
      <c r="E64" s="176">
        <f ca="1">OFFSET(养成框架!$R$63,MATCH(D64,养成框架!$D$64:$D$96,1),0)</f>
        <v>2</v>
      </c>
      <c r="F64" s="176">
        <f ca="1" t="shared" si="4"/>
        <v>44</v>
      </c>
      <c r="G64" s="197">
        <f ca="1" t="shared" si="3"/>
        <v>44</v>
      </c>
      <c r="H64" s="19">
        <f ca="1" t="shared" si="5"/>
        <v>30</v>
      </c>
      <c r="I64" s="19">
        <v>31</v>
      </c>
      <c r="J64" s="17">
        <f ca="1" t="shared" si="6"/>
        <v>25</v>
      </c>
      <c r="K64" s="17">
        <v>13</v>
      </c>
      <c r="L64" s="17">
        <v>13</v>
      </c>
      <c r="M64" s="19">
        <v>30</v>
      </c>
      <c r="XFB64" s="17"/>
    </row>
    <row r="65" spans="4:13 16382:16382">
      <c r="D65" s="176">
        <v>14</v>
      </c>
      <c r="E65" s="176">
        <f ca="1">OFFSET(养成框架!$R$63,MATCH(D65,养成框架!$D$64:$D$96,1),0)</f>
        <v>1</v>
      </c>
      <c r="F65" s="176">
        <f ca="1" t="shared" si="4"/>
        <v>45</v>
      </c>
      <c r="G65" s="197">
        <f ca="1" t="shared" si="3"/>
        <v>45</v>
      </c>
      <c r="H65" s="19">
        <f ca="1" t="shared" si="5"/>
        <v>30</v>
      </c>
      <c r="I65" s="19">
        <v>32</v>
      </c>
      <c r="J65" s="17">
        <f ca="1" t="shared" si="6"/>
        <v>26</v>
      </c>
      <c r="K65" s="17">
        <v>14</v>
      </c>
      <c r="L65" s="17">
        <v>14</v>
      </c>
      <c r="M65" s="19">
        <v>30</v>
      </c>
      <c r="XFB65" s="17"/>
    </row>
    <row r="66" spans="4:13 16382:16382">
      <c r="D66" s="176">
        <v>15</v>
      </c>
      <c r="E66" s="176">
        <f ca="1">OFFSET(养成框架!$R$63,MATCH(D66,养成框架!$D$64:$D$96,1),0)</f>
        <v>1</v>
      </c>
      <c r="F66" s="176">
        <f ca="1" t="shared" si="4"/>
        <v>46</v>
      </c>
      <c r="G66" s="197">
        <f ca="1" t="shared" si="3"/>
        <v>46</v>
      </c>
      <c r="H66" s="19">
        <f ca="1" t="shared" si="5"/>
        <v>30</v>
      </c>
      <c r="I66" s="19">
        <v>33</v>
      </c>
      <c r="J66" s="17">
        <f ca="1" t="shared" si="6"/>
        <v>26</v>
      </c>
      <c r="K66" s="17">
        <v>15</v>
      </c>
      <c r="L66" s="17">
        <v>15</v>
      </c>
      <c r="M66" s="19">
        <v>30</v>
      </c>
      <c r="XFB66" s="17"/>
    </row>
    <row r="67" spans="4:13 16382:16382">
      <c r="D67" s="176">
        <v>16</v>
      </c>
      <c r="E67" s="176">
        <f ca="1">OFFSET(养成框架!$R$63,MATCH(D67,养成框架!$D$64:$D$96,1),0)</f>
        <v>1</v>
      </c>
      <c r="F67" s="176">
        <f ca="1" t="shared" si="4"/>
        <v>47</v>
      </c>
      <c r="G67" s="197">
        <f ca="1" t="shared" si="3"/>
        <v>47</v>
      </c>
      <c r="H67" s="19">
        <f ca="1" t="shared" si="5"/>
        <v>30</v>
      </c>
      <c r="I67" s="19">
        <v>34</v>
      </c>
      <c r="J67" s="17">
        <f ca="1" t="shared" si="6"/>
        <v>27</v>
      </c>
      <c r="K67" s="17">
        <v>16</v>
      </c>
      <c r="L67" s="17">
        <v>16</v>
      </c>
      <c r="M67" s="19">
        <v>30</v>
      </c>
      <c r="XFB67" s="17"/>
    </row>
    <row r="68" spans="4:13 16382:16382">
      <c r="D68" s="176">
        <v>17</v>
      </c>
      <c r="E68" s="176">
        <f ca="1">OFFSET(养成框架!$R$63,MATCH(D68,养成框架!$D$64:$D$96,1),0)</f>
        <v>1</v>
      </c>
      <c r="F68" s="176">
        <f ca="1" t="shared" si="4"/>
        <v>48</v>
      </c>
      <c r="G68" s="197">
        <f ca="1" t="shared" si="3"/>
        <v>48</v>
      </c>
      <c r="H68" s="19">
        <f ca="1" t="shared" si="5"/>
        <v>30</v>
      </c>
      <c r="I68" s="19">
        <v>35</v>
      </c>
      <c r="J68" s="17">
        <f ca="1" t="shared" si="6"/>
        <v>27</v>
      </c>
      <c r="K68" s="17">
        <v>17</v>
      </c>
      <c r="L68" s="17">
        <v>17</v>
      </c>
      <c r="M68" s="19">
        <v>30</v>
      </c>
      <c r="XFB68" s="17"/>
    </row>
    <row r="69" spans="4:13 16382:16382">
      <c r="D69" s="176">
        <v>18</v>
      </c>
      <c r="E69" s="176">
        <f ca="1">OFFSET(养成框架!$R$63,MATCH(D69,养成框架!$D$64:$D$96,1),0)</f>
        <v>1</v>
      </c>
      <c r="F69" s="176">
        <f ca="1" t="shared" si="4"/>
        <v>49</v>
      </c>
      <c r="G69" s="197">
        <f ca="1" t="shared" si="3"/>
        <v>49</v>
      </c>
      <c r="H69" s="19">
        <f ca="1" t="shared" si="5"/>
        <v>30</v>
      </c>
      <c r="I69" s="19">
        <v>36</v>
      </c>
      <c r="J69" s="17">
        <f ca="1" t="shared" si="6"/>
        <v>28</v>
      </c>
      <c r="K69" s="17">
        <v>18</v>
      </c>
      <c r="L69" s="17">
        <v>18</v>
      </c>
      <c r="M69" s="19">
        <v>30</v>
      </c>
      <c r="XFB69" s="17"/>
    </row>
    <row r="70" spans="4:13 16382:16382">
      <c r="D70" s="176">
        <v>19</v>
      </c>
      <c r="E70" s="176">
        <f ca="1">OFFSET(养成框架!$R$63,MATCH(D70,养成框架!$D$64:$D$96,1),0)</f>
        <v>1</v>
      </c>
      <c r="F70" s="176">
        <f ca="1" t="shared" si="4"/>
        <v>50</v>
      </c>
      <c r="G70" s="197">
        <f ca="1" t="shared" si="3"/>
        <v>50</v>
      </c>
      <c r="H70" s="19">
        <f ca="1" t="shared" si="5"/>
        <v>30</v>
      </c>
      <c r="I70" s="19">
        <v>37</v>
      </c>
      <c r="J70" s="17">
        <f ca="1" t="shared" si="6"/>
        <v>28</v>
      </c>
      <c r="K70" s="17">
        <v>19</v>
      </c>
      <c r="L70" s="17">
        <v>19</v>
      </c>
      <c r="M70" s="19">
        <v>30</v>
      </c>
      <c r="XFB70" s="17"/>
    </row>
    <row r="71" spans="4:13 16382:16382">
      <c r="D71" s="176">
        <v>20</v>
      </c>
      <c r="E71" s="176">
        <f ca="1">OFFSET(养成框架!$R$63,MATCH(D71,养成框架!$D$64:$D$96,1),0)</f>
        <v>1</v>
      </c>
      <c r="F71" s="176">
        <f ca="1" t="shared" si="4"/>
        <v>51</v>
      </c>
      <c r="G71" s="197">
        <f ca="1" t="shared" si="3"/>
        <v>51</v>
      </c>
      <c r="H71" s="19">
        <f ca="1" t="shared" si="5"/>
        <v>30</v>
      </c>
      <c r="I71" s="19">
        <v>38</v>
      </c>
      <c r="J71" s="17">
        <f ca="1" t="shared" si="6"/>
        <v>29</v>
      </c>
      <c r="K71" s="17">
        <v>20</v>
      </c>
      <c r="L71" s="17">
        <v>20</v>
      </c>
      <c r="M71" s="19">
        <v>30</v>
      </c>
      <c r="XFB71" s="17"/>
    </row>
    <row r="72" spans="4:13 16382:16382">
      <c r="D72" s="176">
        <v>21</v>
      </c>
      <c r="E72" s="176">
        <f ca="1">OFFSET(养成框架!$R$63,MATCH(D72,养成框架!$D$64:$D$96,1),0)</f>
        <v>1</v>
      </c>
      <c r="F72" s="176">
        <f ca="1" t="shared" si="4"/>
        <v>52</v>
      </c>
      <c r="G72" s="197">
        <f ca="1" t="shared" si="3"/>
        <v>52</v>
      </c>
      <c r="H72" s="19">
        <f ca="1" t="shared" si="5"/>
        <v>30</v>
      </c>
      <c r="I72" s="19">
        <v>39</v>
      </c>
      <c r="J72" s="17">
        <f ca="1" t="shared" si="6"/>
        <v>29</v>
      </c>
      <c r="K72" s="17">
        <v>22</v>
      </c>
      <c r="L72" s="17">
        <v>21</v>
      </c>
      <c r="M72" s="19">
        <v>30</v>
      </c>
      <c r="XFB72" s="17"/>
    </row>
    <row r="73" spans="4:13 16382:16382">
      <c r="D73" s="176">
        <v>22</v>
      </c>
      <c r="E73" s="176">
        <f ca="1">OFFSET(养成框架!$R$63,MATCH(D73,养成框架!$D$64:$D$96,1),0)</f>
        <v>1</v>
      </c>
      <c r="F73" s="176">
        <f ca="1" t="shared" si="4"/>
        <v>53</v>
      </c>
      <c r="G73" s="197">
        <f ca="1" t="shared" si="3"/>
        <v>53</v>
      </c>
      <c r="H73" s="19">
        <f ca="1" t="shared" si="5"/>
        <v>30</v>
      </c>
      <c r="I73" s="19">
        <v>40</v>
      </c>
      <c r="J73" s="17">
        <f ca="1" t="shared" si="6"/>
        <v>30</v>
      </c>
      <c r="K73" s="17">
        <v>24</v>
      </c>
      <c r="L73" s="17">
        <v>22</v>
      </c>
      <c r="M73" s="19">
        <v>30</v>
      </c>
      <c r="XFB73" s="17"/>
    </row>
    <row r="74" spans="4:13 16382:16382">
      <c r="D74" s="176">
        <v>23</v>
      </c>
      <c r="E74" s="176">
        <f ca="1">OFFSET(养成框架!$R$63,MATCH(D74,养成框架!$D$64:$D$96,1),0)</f>
        <v>1</v>
      </c>
      <c r="F74" s="176">
        <f ca="1" t="shared" si="4"/>
        <v>54</v>
      </c>
      <c r="G74" s="197">
        <f ca="1" t="shared" si="3"/>
        <v>54</v>
      </c>
      <c r="H74" s="19">
        <f ca="1" t="shared" si="5"/>
        <v>30</v>
      </c>
      <c r="I74" s="19">
        <v>41</v>
      </c>
      <c r="J74" s="17">
        <f ca="1" t="shared" si="6"/>
        <v>30</v>
      </c>
      <c r="K74" s="17">
        <v>26</v>
      </c>
      <c r="L74" s="17">
        <v>23</v>
      </c>
      <c r="M74" s="19">
        <v>30</v>
      </c>
      <c r="XFB74" s="17"/>
    </row>
    <row r="75" spans="4:13 16382:16382">
      <c r="D75" s="176">
        <v>24</v>
      </c>
      <c r="E75" s="176">
        <f ca="1">OFFSET(养成框架!$R$63,MATCH(D75,养成框架!$D$64:$D$96,1),0)</f>
        <v>1</v>
      </c>
      <c r="F75" s="176">
        <f ca="1" t="shared" si="4"/>
        <v>55</v>
      </c>
      <c r="G75" s="197">
        <f ca="1" t="shared" si="3"/>
        <v>55</v>
      </c>
      <c r="H75" s="19">
        <f ca="1" t="shared" si="5"/>
        <v>30</v>
      </c>
      <c r="I75" s="19">
        <v>43</v>
      </c>
      <c r="J75" s="17">
        <f ca="1" t="shared" si="6"/>
        <v>30</v>
      </c>
      <c r="K75" s="17">
        <v>28</v>
      </c>
      <c r="L75" s="17">
        <v>24</v>
      </c>
      <c r="M75" s="19">
        <v>30</v>
      </c>
      <c r="XFB75" s="17"/>
    </row>
    <row r="76" spans="4:13 16382:16382">
      <c r="D76" s="176">
        <v>25</v>
      </c>
      <c r="E76" s="176">
        <f ca="1">OFFSET(养成框架!$R$63,MATCH(D76,养成框架!$D$64:$D$96,1),0)</f>
        <v>1</v>
      </c>
      <c r="F76" s="176">
        <f ca="1" t="shared" si="4"/>
        <v>56</v>
      </c>
      <c r="G76" s="197">
        <f ca="1" t="shared" si="3"/>
        <v>56</v>
      </c>
      <c r="H76" s="19">
        <f ca="1" t="shared" si="5"/>
        <v>30</v>
      </c>
      <c r="I76" s="19">
        <v>44</v>
      </c>
      <c r="J76" s="17">
        <f ca="1" t="shared" si="6"/>
        <v>30</v>
      </c>
      <c r="K76" s="17">
        <v>30</v>
      </c>
      <c r="L76" s="17">
        <v>25</v>
      </c>
      <c r="M76" s="19">
        <v>30</v>
      </c>
      <c r="XFB76" s="17"/>
    </row>
    <row r="77" spans="4:13 16382:16382">
      <c r="D77" s="176">
        <v>26</v>
      </c>
      <c r="E77" s="176">
        <f ca="1">OFFSET(养成框架!$R$63,MATCH(D77,养成框架!$D$64:$D$96,1),0)</f>
        <v>1</v>
      </c>
      <c r="F77" s="176">
        <f ca="1" t="shared" si="4"/>
        <v>57</v>
      </c>
      <c r="G77" s="197">
        <f ca="1" t="shared" si="3"/>
        <v>57</v>
      </c>
      <c r="H77" s="19">
        <f ca="1" t="shared" si="5"/>
        <v>30</v>
      </c>
      <c r="I77" s="19">
        <v>44</v>
      </c>
      <c r="J77" s="17">
        <f ca="1" t="shared" si="6"/>
        <v>30</v>
      </c>
      <c r="K77" s="17">
        <v>32</v>
      </c>
      <c r="L77" s="17">
        <v>26</v>
      </c>
      <c r="M77" s="19">
        <v>30</v>
      </c>
      <c r="XFB77" s="17"/>
    </row>
    <row r="78" spans="4:13 16382:16382">
      <c r="D78" s="176">
        <v>27</v>
      </c>
      <c r="E78" s="176">
        <f ca="1">OFFSET(养成框架!$R$63,MATCH(D78,养成框架!$D$64:$D$96,1),0)</f>
        <v>0.714285714285714</v>
      </c>
      <c r="F78" s="176">
        <f ca="1" t="shared" si="4"/>
        <v>57.7142857142857</v>
      </c>
      <c r="G78" s="197">
        <f ca="1" t="shared" si="3"/>
        <v>57</v>
      </c>
      <c r="H78" s="19">
        <f ca="1" t="shared" si="5"/>
        <v>30</v>
      </c>
      <c r="I78" s="19">
        <v>45</v>
      </c>
      <c r="J78" s="17">
        <f ca="1" t="shared" si="6"/>
        <v>30</v>
      </c>
      <c r="K78" s="17">
        <v>34</v>
      </c>
      <c r="L78" s="17">
        <v>27</v>
      </c>
      <c r="M78" s="19">
        <v>30</v>
      </c>
      <c r="XFB78" s="17"/>
    </row>
    <row r="79" spans="4:13 16382:16382">
      <c r="D79" s="176">
        <v>28</v>
      </c>
      <c r="E79" s="176">
        <f ca="1">OFFSET(养成框架!$R$63,MATCH(D79,养成框架!$D$64:$D$96,1),0)</f>
        <v>0.714285714285714</v>
      </c>
      <c r="F79" s="176">
        <f ca="1" t="shared" si="4"/>
        <v>58.4285714285714</v>
      </c>
      <c r="G79" s="197">
        <f ca="1" t="shared" si="3"/>
        <v>58</v>
      </c>
      <c r="H79" s="19">
        <f ca="1" t="shared" si="5"/>
        <v>30</v>
      </c>
      <c r="I79" s="19">
        <v>45</v>
      </c>
      <c r="J79" s="17">
        <f ca="1" t="shared" si="6"/>
        <v>30</v>
      </c>
      <c r="K79" s="17">
        <v>36</v>
      </c>
      <c r="L79" s="17">
        <v>28</v>
      </c>
      <c r="M79" s="19">
        <v>30</v>
      </c>
      <c r="XFB79" s="17"/>
    </row>
    <row r="80" spans="4:13 16382:16382">
      <c r="D80" s="176">
        <v>29</v>
      </c>
      <c r="E80" s="176">
        <f ca="1">OFFSET(养成框架!$R$63,MATCH(D80,养成框架!$D$64:$D$96,1),0)</f>
        <v>0.714285714285714</v>
      </c>
      <c r="F80" s="176">
        <f ca="1" t="shared" si="4"/>
        <v>59.1428571428571</v>
      </c>
      <c r="G80" s="197">
        <f ca="1" t="shared" si="3"/>
        <v>59</v>
      </c>
      <c r="H80" s="19">
        <f ca="1" t="shared" si="5"/>
        <v>30</v>
      </c>
      <c r="I80" s="19">
        <v>46</v>
      </c>
      <c r="J80" s="17">
        <f ca="1" t="shared" si="6"/>
        <v>30</v>
      </c>
      <c r="K80" s="17">
        <v>38</v>
      </c>
      <c r="L80" s="17">
        <v>29</v>
      </c>
      <c r="M80" s="19">
        <v>30</v>
      </c>
      <c r="XFB80" s="17"/>
    </row>
    <row r="81" spans="4:13 16382:16382">
      <c r="D81" s="176">
        <v>30</v>
      </c>
      <c r="E81" s="176">
        <f ca="1">OFFSET(养成框架!$R$63,MATCH(D81,养成框架!$D$64:$D$96,1),0)</f>
        <v>0.714285714285714</v>
      </c>
      <c r="F81" s="176">
        <f ca="1" t="shared" si="4"/>
        <v>59.8571428571429</v>
      </c>
      <c r="G81" s="197">
        <f ca="1" t="shared" si="3"/>
        <v>59</v>
      </c>
      <c r="H81" s="19">
        <f ca="1" t="shared" si="5"/>
        <v>30</v>
      </c>
      <c r="I81" s="19">
        <v>46</v>
      </c>
      <c r="J81" s="17">
        <f ca="1" t="shared" si="6"/>
        <v>30</v>
      </c>
      <c r="K81" s="17">
        <v>40</v>
      </c>
      <c r="L81" s="17">
        <v>30</v>
      </c>
      <c r="M81" s="19">
        <v>30</v>
      </c>
      <c r="XFB81" s="17"/>
    </row>
    <row r="82" spans="4:13 16382:16382">
      <c r="D82" s="176">
        <v>31</v>
      </c>
      <c r="E82" s="176">
        <f ca="1">OFFSET(养成框架!$R$63,MATCH(D82,养成框架!$D$64:$D$96,1),0)</f>
        <v>0.714285714285714</v>
      </c>
      <c r="F82" s="176">
        <f ca="1" t="shared" si="4"/>
        <v>60.5714285714286</v>
      </c>
      <c r="G82" s="197">
        <f ca="1" t="shared" si="3"/>
        <v>60</v>
      </c>
      <c r="H82" s="19">
        <f ca="1" t="shared" si="5"/>
        <v>30</v>
      </c>
      <c r="I82" s="19">
        <v>47</v>
      </c>
      <c r="J82" s="17">
        <f ca="1" t="shared" si="6"/>
        <v>30</v>
      </c>
      <c r="M82" s="19">
        <v>30</v>
      </c>
      <c r="XFB82" s="17"/>
    </row>
    <row r="83" spans="4:13 16382:16382">
      <c r="D83" s="176">
        <v>32</v>
      </c>
      <c r="E83" s="176">
        <f ca="1">OFFSET(养成框架!$R$63,MATCH(D83,养成框架!$D$64:$D$96,1),0)</f>
        <v>0.714285714285714</v>
      </c>
      <c r="F83" s="176">
        <f ca="1" t="shared" si="4"/>
        <v>61.2857142857143</v>
      </c>
      <c r="G83" s="197">
        <f ca="1" t="shared" si="3"/>
        <v>61</v>
      </c>
      <c r="H83" s="19">
        <f ca="1" t="shared" si="5"/>
        <v>30</v>
      </c>
      <c r="I83" s="19">
        <v>47</v>
      </c>
      <c r="J83" s="17">
        <f ca="1" t="shared" si="6"/>
        <v>30</v>
      </c>
      <c r="M83" s="19">
        <v>30</v>
      </c>
      <c r="XFB83" s="17"/>
    </row>
    <row r="84" spans="4:13 16382:16382">
      <c r="D84" s="176">
        <v>33</v>
      </c>
      <c r="E84" s="176">
        <f ca="1">OFFSET(养成框架!$R$63,MATCH(D84,养成框架!$D$64:$D$96,1),0)</f>
        <v>0.714285714285714</v>
      </c>
      <c r="F84" s="176">
        <f ca="1" t="shared" si="4"/>
        <v>62</v>
      </c>
      <c r="G84" s="197">
        <f ca="1" t="shared" si="3"/>
        <v>62</v>
      </c>
      <c r="H84" s="19">
        <f ca="1" t="shared" si="5"/>
        <v>30</v>
      </c>
      <c r="I84" s="19">
        <v>48</v>
      </c>
      <c r="J84" s="17">
        <f ca="1" t="shared" si="6"/>
        <v>30</v>
      </c>
      <c r="M84" s="19">
        <v>30</v>
      </c>
      <c r="XFB84" s="17"/>
    </row>
    <row r="85" spans="4:13 16382:16382">
      <c r="D85" s="176">
        <v>34</v>
      </c>
      <c r="E85" s="176">
        <f ca="1">OFFSET(养成框架!$R$63,MATCH(D85,养成框架!$D$64:$D$96,1),0)</f>
        <v>0.714285714285714</v>
      </c>
      <c r="F85" s="176">
        <f ca="1" t="shared" si="4"/>
        <v>62.7142857142857</v>
      </c>
      <c r="G85" s="197">
        <f ca="1" t="shared" si="3"/>
        <v>62</v>
      </c>
      <c r="H85" s="19">
        <f ca="1" t="shared" si="5"/>
        <v>30</v>
      </c>
      <c r="I85" s="19">
        <v>48</v>
      </c>
      <c r="J85" s="17">
        <f ca="1" t="shared" si="6"/>
        <v>30</v>
      </c>
      <c r="M85" s="19">
        <v>30</v>
      </c>
      <c r="XFB85" s="17"/>
    </row>
    <row r="86" spans="4:13 16382:16382">
      <c r="D86" s="176">
        <v>35</v>
      </c>
      <c r="E86" s="176">
        <f ca="1">OFFSET(养成框架!$R$63,MATCH(D86,养成框架!$D$64:$D$96,1),0)</f>
        <v>0.714285714285714</v>
      </c>
      <c r="F86" s="176">
        <f ca="1" t="shared" si="4"/>
        <v>63.4285714285714</v>
      </c>
      <c r="G86" s="197">
        <f ca="1" t="shared" si="3"/>
        <v>63</v>
      </c>
      <c r="H86" s="19">
        <f ca="1" t="shared" si="5"/>
        <v>30</v>
      </c>
      <c r="I86" s="19">
        <v>49</v>
      </c>
      <c r="J86" s="17">
        <f ca="1" t="shared" si="6"/>
        <v>30</v>
      </c>
      <c r="M86" s="19">
        <v>30</v>
      </c>
      <c r="XFB86" s="17"/>
    </row>
    <row r="87" spans="4:13 16382:16382">
      <c r="D87" s="176">
        <v>36</v>
      </c>
      <c r="E87" s="176">
        <f ca="1">OFFSET(养成框架!$R$63,MATCH(D87,养成框架!$D$64:$D$96,1),0)</f>
        <v>0.714285714285714</v>
      </c>
      <c r="F87" s="176">
        <f ca="1" t="shared" si="4"/>
        <v>64.1428571428572</v>
      </c>
      <c r="G87" s="197">
        <f ca="1" t="shared" si="3"/>
        <v>64</v>
      </c>
      <c r="H87" s="19">
        <f ca="1" t="shared" si="5"/>
        <v>30</v>
      </c>
      <c r="I87" s="19">
        <v>49</v>
      </c>
      <c r="J87" s="17">
        <f ca="1" t="shared" si="6"/>
        <v>30</v>
      </c>
      <c r="M87" s="19">
        <v>30</v>
      </c>
      <c r="XFB87" s="17"/>
    </row>
    <row r="88" spans="4:13 16382:16382">
      <c r="D88" s="176">
        <v>37</v>
      </c>
      <c r="E88" s="176">
        <f ca="1">OFFSET(养成框架!$R$63,MATCH(D88,养成框架!$D$64:$D$96,1),0)</f>
        <v>0.714285714285714</v>
      </c>
      <c r="F88" s="176">
        <f ca="1" t="shared" si="4"/>
        <v>64.8571428571429</v>
      </c>
      <c r="G88" s="197">
        <f ca="1" t="shared" si="3"/>
        <v>64</v>
      </c>
      <c r="H88" s="19">
        <f ca="1" t="shared" si="5"/>
        <v>30</v>
      </c>
      <c r="I88" s="19">
        <v>50</v>
      </c>
      <c r="J88" s="17">
        <f ca="1" t="shared" si="6"/>
        <v>30</v>
      </c>
      <c r="M88" s="19">
        <v>30</v>
      </c>
      <c r="XFB88" s="17"/>
    </row>
    <row r="89" spans="4:13 16382:16382">
      <c r="D89" s="176">
        <v>38</v>
      </c>
      <c r="E89" s="176">
        <f ca="1">OFFSET(养成框架!$R$63,MATCH(D89,养成框架!$D$64:$D$96,1),0)</f>
        <v>0.714285714285714</v>
      </c>
      <c r="F89" s="176">
        <f ca="1" t="shared" si="4"/>
        <v>65.5714285714286</v>
      </c>
      <c r="G89" s="197">
        <f ca="1" t="shared" si="3"/>
        <v>65</v>
      </c>
      <c r="H89" s="19">
        <f ca="1" t="shared" si="5"/>
        <v>30</v>
      </c>
      <c r="I89" s="19">
        <v>50</v>
      </c>
      <c r="J89" s="17">
        <f ca="1" t="shared" si="6"/>
        <v>30</v>
      </c>
      <c r="M89" s="19">
        <v>30</v>
      </c>
      <c r="XFB89" s="17"/>
    </row>
    <row r="90" spans="4:13 16382:16382">
      <c r="D90" s="176">
        <v>39</v>
      </c>
      <c r="E90" s="176">
        <f ca="1">OFFSET(养成框架!$R$63,MATCH(D90,养成框架!$D$64:$D$96,1),0)</f>
        <v>0.714285714285714</v>
      </c>
      <c r="F90" s="176">
        <f ca="1" t="shared" si="4"/>
        <v>66.2857142857143</v>
      </c>
      <c r="G90" s="197">
        <f ca="1" t="shared" si="3"/>
        <v>66</v>
      </c>
      <c r="H90" s="19">
        <f ca="1" t="shared" si="5"/>
        <v>30</v>
      </c>
      <c r="I90" s="19">
        <v>51</v>
      </c>
      <c r="J90" s="17">
        <f ca="1" t="shared" si="6"/>
        <v>30</v>
      </c>
      <c r="M90" s="19">
        <v>30</v>
      </c>
      <c r="XFB90" s="17"/>
    </row>
    <row r="91" spans="4:13 16382:16382">
      <c r="D91" s="176">
        <v>40</v>
      </c>
      <c r="E91" s="176">
        <f ca="1">OFFSET(养成框架!$R$63,MATCH(D91,养成框架!$D$64:$D$96,1),0)</f>
        <v>0.714285714285714</v>
      </c>
      <c r="F91" s="176">
        <f ca="1" t="shared" si="4"/>
        <v>67</v>
      </c>
      <c r="G91" s="197">
        <f ca="1" t="shared" si="3"/>
        <v>67</v>
      </c>
      <c r="H91" s="19">
        <f ca="1" t="shared" si="5"/>
        <v>30</v>
      </c>
      <c r="I91" s="19">
        <v>51</v>
      </c>
      <c r="J91" s="17">
        <f ca="1" t="shared" si="6"/>
        <v>30</v>
      </c>
      <c r="M91" s="19">
        <v>30</v>
      </c>
      <c r="XFB91" s="17"/>
    </row>
    <row r="92" spans="4:13 16382:16382">
      <c r="D92" s="176">
        <v>41</v>
      </c>
      <c r="E92" s="176">
        <f ca="1">OFFSET(养成框架!$R$63,MATCH(D92,养成框架!$D$64:$D$96,1),0)</f>
        <v>0.714285714285714</v>
      </c>
      <c r="F92" s="176">
        <f ca="1" t="shared" si="4"/>
        <v>67.7142857142857</v>
      </c>
      <c r="G92" s="197">
        <f ca="1" t="shared" si="3"/>
        <v>67</v>
      </c>
      <c r="H92" s="19">
        <f ca="1" t="shared" si="5"/>
        <v>30</v>
      </c>
      <c r="I92" s="19">
        <v>52</v>
      </c>
      <c r="J92" s="17">
        <f ca="1" t="shared" si="6"/>
        <v>30</v>
      </c>
      <c r="M92" s="19">
        <v>30</v>
      </c>
      <c r="XFB92" s="17"/>
    </row>
    <row r="93" spans="4:13 16382:16382">
      <c r="D93" s="176">
        <v>42</v>
      </c>
      <c r="E93" s="176">
        <f ca="1">OFFSET(养成框架!$R$63,MATCH(D93,养成框架!$D$64:$D$96,1),0)</f>
        <v>0.714285714285714</v>
      </c>
      <c r="F93" s="176">
        <f ca="1" t="shared" si="4"/>
        <v>68.4285714285714</v>
      </c>
      <c r="G93" s="197">
        <f ca="1" t="shared" si="3"/>
        <v>68</v>
      </c>
      <c r="H93" s="19">
        <f ca="1" t="shared" si="5"/>
        <v>30</v>
      </c>
      <c r="I93" s="19">
        <v>52</v>
      </c>
      <c r="J93" s="17">
        <f ca="1" t="shared" si="6"/>
        <v>30</v>
      </c>
      <c r="M93" s="19">
        <v>30</v>
      </c>
      <c r="XFB93" s="17"/>
    </row>
    <row r="94" spans="4:13 16382:16382">
      <c r="D94" s="176">
        <v>43</v>
      </c>
      <c r="E94" s="176">
        <f ca="1">OFFSET(养成框架!$R$63,MATCH(D94,养成框架!$D$64:$D$96,1),0)</f>
        <v>0.714285714285714</v>
      </c>
      <c r="F94" s="176">
        <f ca="1" t="shared" si="4"/>
        <v>69.1428571428571</v>
      </c>
      <c r="G94" s="197">
        <f ca="1" t="shared" si="3"/>
        <v>69</v>
      </c>
      <c r="H94" s="19">
        <f ca="1" t="shared" si="5"/>
        <v>30</v>
      </c>
      <c r="I94" s="19">
        <v>53</v>
      </c>
      <c r="J94" s="17">
        <f ca="1" t="shared" si="6"/>
        <v>30</v>
      </c>
      <c r="M94" s="19">
        <v>30</v>
      </c>
      <c r="XFB94" s="17"/>
    </row>
    <row r="95" spans="4:13 16382:16382">
      <c r="D95" s="176">
        <v>44</v>
      </c>
      <c r="E95" s="176">
        <f ca="1">OFFSET(养成框架!$R$63,MATCH(D95,养成框架!$D$64:$D$96,1),0)</f>
        <v>0.714285714285714</v>
      </c>
      <c r="F95" s="176">
        <f ca="1" t="shared" si="4"/>
        <v>69.8571428571428</v>
      </c>
      <c r="G95" s="197">
        <f ca="1" t="shared" si="3"/>
        <v>69</v>
      </c>
      <c r="H95" s="19">
        <f ca="1" t="shared" si="5"/>
        <v>30</v>
      </c>
      <c r="I95" s="19">
        <v>53</v>
      </c>
      <c r="J95" s="17">
        <f ca="1" t="shared" si="6"/>
        <v>30</v>
      </c>
      <c r="M95" s="19">
        <v>30</v>
      </c>
      <c r="XFB95" s="17"/>
    </row>
    <row r="96" spans="4:13 16382:16382">
      <c r="D96" s="176">
        <v>45</v>
      </c>
      <c r="E96" s="176">
        <f ca="1">OFFSET(养成框架!$R$63,MATCH(D96,养成框架!$D$64:$D$96,1),0)</f>
        <v>0.714285714285714</v>
      </c>
      <c r="F96" s="176">
        <f ca="1" t="shared" si="4"/>
        <v>70.5714285714285</v>
      </c>
      <c r="G96" s="197">
        <f ca="1" t="shared" si="3"/>
        <v>70</v>
      </c>
      <c r="H96" s="19">
        <f ca="1" t="shared" si="5"/>
        <v>30</v>
      </c>
      <c r="I96" s="19">
        <v>54</v>
      </c>
      <c r="J96" s="17">
        <f ca="1" t="shared" si="6"/>
        <v>30</v>
      </c>
      <c r="M96" s="19">
        <v>30</v>
      </c>
      <c r="XFB96" s="17"/>
    </row>
    <row r="97" spans="4:13 16382:16382">
      <c r="D97" s="176">
        <v>46</v>
      </c>
      <c r="E97" s="176">
        <f ca="1">OFFSET(养成框架!$R$63,MATCH(D97,养成框架!$D$64:$D$96,1),0)</f>
        <v>0.714285714285714</v>
      </c>
      <c r="F97" s="176">
        <f ca="1" t="shared" si="4"/>
        <v>71.2857142857142</v>
      </c>
      <c r="G97" s="197">
        <f ca="1" t="shared" si="3"/>
        <v>71</v>
      </c>
      <c r="H97" s="19">
        <f ca="1" t="shared" si="5"/>
        <v>30</v>
      </c>
      <c r="I97" s="19">
        <v>54</v>
      </c>
      <c r="J97" s="17">
        <f ca="1" t="shared" si="6"/>
        <v>30</v>
      </c>
      <c r="M97" s="19">
        <v>30</v>
      </c>
      <c r="XFB97" s="17"/>
    </row>
    <row r="98" spans="4:13 16382:16382">
      <c r="D98" s="176">
        <v>47</v>
      </c>
      <c r="E98" s="176">
        <f ca="1">OFFSET(养成框架!$R$63,MATCH(D98,养成框架!$D$64:$D$96,1),0)</f>
        <v>0.714285714285714</v>
      </c>
      <c r="F98" s="176">
        <f ca="1" t="shared" si="4"/>
        <v>71.9999999999999</v>
      </c>
      <c r="G98" s="197">
        <f ca="1" t="shared" si="3"/>
        <v>71</v>
      </c>
      <c r="H98" s="19">
        <f ca="1" t="shared" si="5"/>
        <v>30</v>
      </c>
      <c r="I98" s="19">
        <v>55</v>
      </c>
      <c r="J98" s="17">
        <f ca="1" t="shared" si="6"/>
        <v>30</v>
      </c>
      <c r="M98" s="19">
        <v>30</v>
      </c>
      <c r="XFB98" s="17"/>
    </row>
    <row r="99" spans="4:13 16382:16382">
      <c r="D99" s="176">
        <v>48</v>
      </c>
      <c r="E99" s="176">
        <f ca="1">OFFSET(养成框架!$R$63,MATCH(D99,养成框架!$D$64:$D$96,1),0)</f>
        <v>0.714285714285714</v>
      </c>
      <c r="F99" s="176">
        <f ca="1" t="shared" si="4"/>
        <v>72.7142857142857</v>
      </c>
      <c r="G99" s="197">
        <f ca="1" t="shared" si="3"/>
        <v>72</v>
      </c>
      <c r="H99" s="19">
        <f ca="1" t="shared" si="5"/>
        <v>30</v>
      </c>
      <c r="I99" s="19">
        <v>56</v>
      </c>
      <c r="J99" s="17">
        <f ca="1" t="shared" si="6"/>
        <v>30</v>
      </c>
      <c r="M99" s="19">
        <v>30</v>
      </c>
      <c r="XFB99" s="17"/>
    </row>
    <row r="100" spans="4:13 16382:16382">
      <c r="D100" s="176">
        <v>49</v>
      </c>
      <c r="E100" s="176">
        <f ca="1">OFFSET(养成框架!$R$63,MATCH(D100,养成框架!$D$64:$D$96,1),0)</f>
        <v>0.714285714285714</v>
      </c>
      <c r="F100" s="176">
        <f ca="1" t="shared" si="4"/>
        <v>73.4285714285714</v>
      </c>
      <c r="G100" s="197">
        <f ca="1" t="shared" si="3"/>
        <v>73</v>
      </c>
      <c r="H100" s="19">
        <f ca="1" t="shared" si="5"/>
        <v>30</v>
      </c>
      <c r="I100" s="19">
        <v>56</v>
      </c>
      <c r="J100" s="17">
        <f ca="1" t="shared" si="6"/>
        <v>30</v>
      </c>
      <c r="M100" s="19">
        <v>30</v>
      </c>
      <c r="XFB100" s="17"/>
    </row>
    <row r="101" spans="4:13 16382:16382">
      <c r="D101" s="176">
        <v>50</v>
      </c>
      <c r="E101" s="176">
        <f ca="1">OFFSET(养成框架!$R$63,MATCH(D101,养成框架!$D$64:$D$96,1),0)</f>
        <v>0.714285714285714</v>
      </c>
      <c r="F101" s="176">
        <f ca="1" t="shared" si="4"/>
        <v>74.1428571428571</v>
      </c>
      <c r="G101" s="197">
        <f ca="1" t="shared" si="3"/>
        <v>74</v>
      </c>
      <c r="H101" s="19">
        <f ca="1" t="shared" si="5"/>
        <v>30</v>
      </c>
      <c r="I101" s="19">
        <v>57</v>
      </c>
      <c r="J101" s="17">
        <f ca="1" t="shared" si="6"/>
        <v>30</v>
      </c>
      <c r="M101" s="19">
        <v>30</v>
      </c>
      <c r="XFB101" s="17"/>
    </row>
    <row r="102" spans="4:13 16382:16382">
      <c r="D102" s="176">
        <v>51</v>
      </c>
      <c r="E102" s="176">
        <f ca="1">OFFSET(养成框架!$R$63,MATCH(D102,养成框架!$D$64:$D$96,1),0)</f>
        <v>0.714285714285714</v>
      </c>
      <c r="F102" s="176">
        <f ca="1" t="shared" si="4"/>
        <v>74.8571428571428</v>
      </c>
      <c r="G102" s="197">
        <f ca="1" t="shared" si="3"/>
        <v>74</v>
      </c>
      <c r="H102" s="19">
        <f ca="1" t="shared" si="5"/>
        <v>30</v>
      </c>
      <c r="I102" s="19">
        <v>57</v>
      </c>
      <c r="J102" s="17">
        <f ca="1" t="shared" si="6"/>
        <v>30</v>
      </c>
      <c r="M102" s="19">
        <v>30</v>
      </c>
      <c r="XFB102" s="17"/>
    </row>
    <row r="103" spans="4:13 16382:16382">
      <c r="D103" s="176">
        <v>52</v>
      </c>
      <c r="E103" s="176">
        <f ca="1">OFFSET(养成框架!$R$63,MATCH(D103,养成框架!$D$64:$D$96,1),0)</f>
        <v>0.714285714285714</v>
      </c>
      <c r="F103" s="176">
        <f ca="1" t="shared" si="4"/>
        <v>75.5714285714285</v>
      </c>
      <c r="G103" s="197">
        <f ca="1" t="shared" si="3"/>
        <v>75</v>
      </c>
      <c r="H103" s="19">
        <f ca="1" t="shared" si="5"/>
        <v>30</v>
      </c>
      <c r="I103" s="19">
        <v>57</v>
      </c>
      <c r="J103" s="17">
        <f ca="1" t="shared" si="6"/>
        <v>30</v>
      </c>
      <c r="M103" s="19">
        <v>30</v>
      </c>
      <c r="XFB103" s="17"/>
    </row>
    <row r="104" spans="4:13 16382:16382">
      <c r="D104" s="176">
        <v>53</v>
      </c>
      <c r="E104" s="176">
        <f ca="1">OFFSET(养成框架!$R$63,MATCH(D104,养成框架!$D$64:$D$96,1),0)</f>
        <v>0.714285714285714</v>
      </c>
      <c r="F104" s="176">
        <f ca="1" t="shared" si="4"/>
        <v>76.2857142857142</v>
      </c>
      <c r="G104" s="197">
        <f ca="1" t="shared" si="3"/>
        <v>76</v>
      </c>
      <c r="H104" s="19">
        <f ca="1" t="shared" si="5"/>
        <v>30</v>
      </c>
      <c r="I104" s="19">
        <v>57</v>
      </c>
      <c r="J104" s="17">
        <f ca="1" t="shared" si="6"/>
        <v>30</v>
      </c>
      <c r="M104" s="19">
        <v>30</v>
      </c>
      <c r="XFB104" s="17"/>
    </row>
    <row r="105" spans="4:13 16382:16382">
      <c r="D105" s="176">
        <v>54</v>
      </c>
      <c r="E105" s="176">
        <f ca="1">OFFSET(养成框架!$R$63,MATCH(D105,养成框架!$D$64:$D$96,1),0)</f>
        <v>0.714285714285714</v>
      </c>
      <c r="F105" s="176">
        <f ca="1" t="shared" si="4"/>
        <v>76.9999999999999</v>
      </c>
      <c r="G105" s="197">
        <f ca="1" t="shared" si="3"/>
        <v>76</v>
      </c>
      <c r="H105" s="19">
        <f ca="1" t="shared" si="5"/>
        <v>30</v>
      </c>
      <c r="I105" s="19">
        <v>58</v>
      </c>
      <c r="J105" s="17">
        <f ca="1" t="shared" si="6"/>
        <v>30</v>
      </c>
      <c r="M105" s="19">
        <v>30</v>
      </c>
      <c r="XFB105" s="17"/>
    </row>
    <row r="106" spans="4:13 16382:16382">
      <c r="D106" s="176">
        <v>55</v>
      </c>
      <c r="E106" s="176">
        <f ca="1">OFFSET(养成框架!$R$63,MATCH(D106,养成框架!$D$64:$D$96,1),0)</f>
        <v>0.714285714285714</v>
      </c>
      <c r="F106" s="176">
        <f ca="1" t="shared" si="4"/>
        <v>77.7142857142856</v>
      </c>
      <c r="G106" s="197">
        <f ca="1" t="shared" si="3"/>
        <v>77</v>
      </c>
      <c r="H106" s="19">
        <f ca="1" t="shared" si="5"/>
        <v>30</v>
      </c>
      <c r="I106" s="19">
        <v>58</v>
      </c>
      <c r="J106" s="17">
        <f ca="1" t="shared" si="6"/>
        <v>30</v>
      </c>
      <c r="M106" s="19">
        <v>30</v>
      </c>
      <c r="XFB106" s="17"/>
    </row>
    <row r="107" spans="4:13 16382:16382">
      <c r="D107" s="176">
        <v>56</v>
      </c>
      <c r="E107" s="176">
        <f ca="1">OFFSET(养成框架!$R$63,MATCH(D107,养成框架!$D$64:$D$96,1),0)</f>
        <v>0.714285714285714</v>
      </c>
      <c r="F107" s="176">
        <f ca="1" t="shared" si="4"/>
        <v>78.4285714285713</v>
      </c>
      <c r="G107" s="197">
        <f ca="1" t="shared" si="3"/>
        <v>78</v>
      </c>
      <c r="H107" s="19">
        <f ca="1" t="shared" si="5"/>
        <v>30</v>
      </c>
      <c r="I107" s="19">
        <v>59</v>
      </c>
      <c r="J107" s="17">
        <f ca="1" t="shared" si="6"/>
        <v>30</v>
      </c>
      <c r="M107" s="19">
        <v>30</v>
      </c>
      <c r="XFB107" s="17"/>
    </row>
    <row r="108" spans="4:13 16382:16382">
      <c r="D108" s="176">
        <v>57</v>
      </c>
      <c r="E108" s="176">
        <f ca="1">OFFSET(养成框架!$R$63,MATCH(D108,养成框架!$D$64:$D$96,1),0)</f>
        <v>0.714285714285714</v>
      </c>
      <c r="F108" s="176">
        <f ca="1" t="shared" si="4"/>
        <v>79.142857142857</v>
      </c>
      <c r="G108" s="197">
        <f ca="1" t="shared" si="3"/>
        <v>79</v>
      </c>
      <c r="H108" s="19">
        <f ca="1" t="shared" si="5"/>
        <v>30</v>
      </c>
      <c r="I108" s="19">
        <v>59</v>
      </c>
      <c r="J108" s="17">
        <f ca="1" t="shared" si="6"/>
        <v>30</v>
      </c>
      <c r="M108" s="19">
        <v>30</v>
      </c>
      <c r="XFB108" s="17"/>
    </row>
    <row r="109" spans="4:13 16382:16382">
      <c r="D109" s="176">
        <v>58</v>
      </c>
      <c r="E109" s="176">
        <f ca="1">OFFSET(养成框架!$R$63,MATCH(D109,养成框架!$D$64:$D$96,1),0)</f>
        <v>0.714285714285714</v>
      </c>
      <c r="F109" s="176">
        <f ca="1" t="shared" si="4"/>
        <v>79.8571428571427</v>
      </c>
      <c r="G109" s="197">
        <f ca="1" t="shared" si="3"/>
        <v>79</v>
      </c>
      <c r="H109" s="19">
        <f ca="1" t="shared" si="5"/>
        <v>30</v>
      </c>
      <c r="I109" s="19">
        <v>59</v>
      </c>
      <c r="J109" s="17">
        <f ca="1" t="shared" si="6"/>
        <v>30</v>
      </c>
      <c r="M109" s="19">
        <v>30</v>
      </c>
      <c r="XFB109" s="17"/>
    </row>
    <row r="110" spans="4:13 16382:16382">
      <c r="D110" s="176">
        <v>59</v>
      </c>
      <c r="E110" s="176">
        <f ca="1">OFFSET(养成框架!$R$63,MATCH(D110,养成框架!$D$64:$D$96,1),0)</f>
        <v>0.714285714285714</v>
      </c>
      <c r="F110" s="176">
        <f ca="1" t="shared" si="4"/>
        <v>80.5714285714284</v>
      </c>
      <c r="G110" s="197">
        <f ca="1" t="shared" si="3"/>
        <v>80</v>
      </c>
      <c r="H110" s="19">
        <f ca="1" t="shared" si="5"/>
        <v>30</v>
      </c>
      <c r="I110" s="19">
        <v>59</v>
      </c>
      <c r="J110" s="17">
        <f ca="1" t="shared" si="6"/>
        <v>30</v>
      </c>
      <c r="M110" s="19">
        <v>30</v>
      </c>
      <c r="XFB110" s="17"/>
    </row>
    <row r="111" spans="4:13 16382:16382">
      <c r="D111" s="176">
        <v>60</v>
      </c>
      <c r="E111" s="176">
        <f ca="1">OFFSET(养成框架!$R$63,MATCH(D111,养成框架!$D$64:$D$96,1),0)</f>
        <v>0.714285714285714</v>
      </c>
      <c r="F111" s="176">
        <f ca="1" t="shared" si="4"/>
        <v>81.2857142857141</v>
      </c>
      <c r="G111" s="197">
        <f ca="1" t="shared" si="3"/>
        <v>81</v>
      </c>
      <c r="H111" s="19">
        <f ca="1" t="shared" si="5"/>
        <v>30</v>
      </c>
      <c r="I111" s="19">
        <v>60</v>
      </c>
      <c r="J111" s="17">
        <f ca="1" t="shared" si="6"/>
        <v>30</v>
      </c>
      <c r="M111" s="19">
        <v>30</v>
      </c>
      <c r="XFB111" s="17"/>
    </row>
    <row r="112" spans="4:13 16382:16382">
      <c r="D112" s="176">
        <v>61</v>
      </c>
      <c r="E112" s="176">
        <f ca="1">OFFSET(养成框架!$R$63,MATCH(D112,养成框架!$D$64:$D$96,1),0)</f>
        <v>0.714285714285714</v>
      </c>
      <c r="F112" s="176">
        <f ca="1" t="shared" si="4"/>
        <v>81.9999999999999</v>
      </c>
      <c r="G112" s="197">
        <f ca="1" t="shared" si="3"/>
        <v>81</v>
      </c>
      <c r="H112" s="19">
        <f ca="1" t="shared" si="5"/>
        <v>30</v>
      </c>
      <c r="I112" s="19">
        <v>60</v>
      </c>
      <c r="J112" s="17">
        <f ca="1" t="shared" si="6"/>
        <v>30</v>
      </c>
      <c r="M112" s="19">
        <v>30</v>
      </c>
      <c r="XFB112" s="17"/>
    </row>
    <row r="113" spans="4:13 16382:16382">
      <c r="D113" s="176">
        <v>62</v>
      </c>
      <c r="E113" s="176">
        <f ca="1">OFFSET(养成框架!$R$63,MATCH(D113,养成框架!$D$64:$D$96,1),0)</f>
        <v>0.357142857142857</v>
      </c>
      <c r="F113" s="176">
        <f ca="1" t="shared" si="4"/>
        <v>82.3571428571427</v>
      </c>
      <c r="G113" s="197">
        <f ca="1" t="shared" si="3"/>
        <v>82</v>
      </c>
      <c r="H113" s="19">
        <f ca="1" t="shared" si="5"/>
        <v>30</v>
      </c>
      <c r="I113" s="19">
        <v>61</v>
      </c>
      <c r="J113" s="17">
        <f ca="1" t="shared" si="6"/>
        <v>30</v>
      </c>
      <c r="M113" s="19">
        <v>30</v>
      </c>
      <c r="XFB113" s="17"/>
    </row>
    <row r="114" spans="4:13 16382:16382">
      <c r="D114" s="176">
        <v>63</v>
      </c>
      <c r="E114" s="176">
        <f ca="1">OFFSET(养成框架!$R$63,MATCH(D114,养成框架!$D$64:$D$96,1),0)</f>
        <v>0.357142857142857</v>
      </c>
      <c r="F114" s="176">
        <f ca="1" t="shared" si="4"/>
        <v>82.7142857142856</v>
      </c>
      <c r="G114" s="197">
        <f ca="1" t="shared" si="3"/>
        <v>82</v>
      </c>
      <c r="H114" s="19">
        <f ca="1" t="shared" si="5"/>
        <v>30</v>
      </c>
      <c r="I114" s="19">
        <v>61</v>
      </c>
      <c r="J114" s="17">
        <f ca="1" t="shared" si="6"/>
        <v>30</v>
      </c>
      <c r="M114" s="19">
        <v>30</v>
      </c>
      <c r="XFB114" s="17"/>
    </row>
    <row r="115" spans="4:13 16382:16382">
      <c r="D115" s="176">
        <v>64</v>
      </c>
      <c r="E115" s="176">
        <f ca="1">OFFSET(养成框架!$R$63,MATCH(D115,养成框架!$D$64:$D$96,1),0)</f>
        <v>0.357142857142857</v>
      </c>
      <c r="F115" s="176">
        <f ca="1" t="shared" si="4"/>
        <v>83.0714285714284</v>
      </c>
      <c r="G115" s="197">
        <f ca="1" t="shared" si="3"/>
        <v>83</v>
      </c>
      <c r="H115" s="19">
        <f ca="1" t="shared" si="5"/>
        <v>30</v>
      </c>
      <c r="I115" s="19">
        <v>62</v>
      </c>
      <c r="J115" s="17">
        <f ca="1" t="shared" si="6"/>
        <v>30</v>
      </c>
      <c r="M115" s="19">
        <v>30</v>
      </c>
      <c r="XFB115" s="17"/>
    </row>
    <row r="116" spans="4:13 16382:16382">
      <c r="D116" s="176">
        <v>65</v>
      </c>
      <c r="E116" s="176">
        <f ca="1">OFFSET(养成框架!$R$63,MATCH(D116,养成框架!$D$64:$D$96,1),0)</f>
        <v>0.357142857142857</v>
      </c>
      <c r="F116" s="176">
        <f ca="1" t="shared" si="4"/>
        <v>83.4285714285713</v>
      </c>
      <c r="G116" s="197">
        <f ca="1" t="shared" ref="G116:G179" si="7">INT(F116)</f>
        <v>83</v>
      </c>
      <c r="H116" s="19">
        <f ca="1" t="shared" si="5"/>
        <v>30</v>
      </c>
      <c r="I116" s="19">
        <v>62</v>
      </c>
      <c r="J116" s="17">
        <f ca="1" t="shared" si="6"/>
        <v>30</v>
      </c>
      <c r="M116" s="19">
        <v>30</v>
      </c>
      <c r="XFB116" s="17"/>
    </row>
    <row r="117" spans="4:13 16382:16382">
      <c r="D117" s="176">
        <v>66</v>
      </c>
      <c r="E117" s="176">
        <f ca="1">OFFSET(养成框架!$R$63,MATCH(D117,养成框架!$D$64:$D$96,1),0)</f>
        <v>0.357142857142857</v>
      </c>
      <c r="F117" s="176">
        <f ca="1" t="shared" ref="F117:F180" si="8">E117+F116</f>
        <v>83.7857142857142</v>
      </c>
      <c r="G117" s="197">
        <f ca="1" t="shared" si="7"/>
        <v>83</v>
      </c>
      <c r="H117" s="19">
        <f ca="1" t="shared" ref="H117:H180" si="9">OFFSET($L$51,MATCH(F117,$K$52:$K$81,1),0)</f>
        <v>30</v>
      </c>
      <c r="I117" s="19">
        <v>62</v>
      </c>
      <c r="J117" s="17">
        <f ca="1" t="shared" ref="J117:J180" si="10">OFFSET($L$51,MATCH(I117,$K$52:$K$81,1),0)</f>
        <v>30</v>
      </c>
      <c r="M117" s="19">
        <v>30</v>
      </c>
      <c r="XFB117" s="17"/>
    </row>
    <row r="118" spans="4:13 16382:16382">
      <c r="D118" s="176">
        <v>67</v>
      </c>
      <c r="E118" s="176">
        <f ca="1">OFFSET(养成框架!$R$63,MATCH(D118,养成框架!$D$64:$D$96,1),0)</f>
        <v>0.357142857142857</v>
      </c>
      <c r="F118" s="176">
        <f ca="1" t="shared" si="8"/>
        <v>84.142857142857</v>
      </c>
      <c r="G118" s="197">
        <f ca="1" t="shared" si="7"/>
        <v>84</v>
      </c>
      <c r="H118" s="19">
        <f ca="1" t="shared" si="9"/>
        <v>30</v>
      </c>
      <c r="I118" s="19">
        <v>62</v>
      </c>
      <c r="J118" s="17">
        <f ca="1" t="shared" si="10"/>
        <v>30</v>
      </c>
      <c r="M118" s="19">
        <v>30</v>
      </c>
      <c r="XFB118" s="17"/>
    </row>
    <row r="119" spans="4:13 16382:16382">
      <c r="D119" s="176">
        <v>68</v>
      </c>
      <c r="E119" s="176">
        <f ca="1">OFFSET(养成框架!$R$63,MATCH(D119,养成框架!$D$64:$D$96,1),0)</f>
        <v>0.357142857142857</v>
      </c>
      <c r="F119" s="176">
        <f ca="1" t="shared" si="8"/>
        <v>84.4999999999999</v>
      </c>
      <c r="G119" s="197">
        <f ca="1" t="shared" si="7"/>
        <v>84</v>
      </c>
      <c r="H119" s="19">
        <f ca="1" t="shared" si="9"/>
        <v>30</v>
      </c>
      <c r="I119" s="19">
        <v>63</v>
      </c>
      <c r="J119" s="17">
        <f ca="1" t="shared" si="10"/>
        <v>30</v>
      </c>
      <c r="M119" s="19">
        <v>30</v>
      </c>
      <c r="XFB119" s="17"/>
    </row>
    <row r="120" spans="4:13 16382:16382">
      <c r="D120" s="176">
        <v>69</v>
      </c>
      <c r="E120" s="176">
        <f ca="1">OFFSET(养成框架!$R$63,MATCH(D120,养成框架!$D$64:$D$96,1),0)</f>
        <v>0.357142857142857</v>
      </c>
      <c r="F120" s="176">
        <f ca="1" t="shared" si="8"/>
        <v>84.8571428571427</v>
      </c>
      <c r="G120" s="197">
        <f ca="1" t="shared" si="7"/>
        <v>84</v>
      </c>
      <c r="H120" s="19">
        <f ca="1" t="shared" si="9"/>
        <v>30</v>
      </c>
      <c r="I120" s="19">
        <v>63</v>
      </c>
      <c r="J120" s="17">
        <f ca="1" t="shared" si="10"/>
        <v>30</v>
      </c>
      <c r="M120" s="19">
        <v>30</v>
      </c>
      <c r="XFB120" s="17"/>
    </row>
    <row r="121" spans="4:13 16382:16382">
      <c r="D121" s="176">
        <v>70</v>
      </c>
      <c r="E121" s="176">
        <f ca="1">OFFSET(养成框架!$R$63,MATCH(D121,养成框架!$D$64:$D$96,1),0)</f>
        <v>0.357142857142857</v>
      </c>
      <c r="F121" s="176">
        <f ca="1" t="shared" si="8"/>
        <v>85.2142857142856</v>
      </c>
      <c r="G121" s="197">
        <f ca="1" t="shared" si="7"/>
        <v>85</v>
      </c>
      <c r="H121" s="19">
        <f ca="1" t="shared" si="9"/>
        <v>30</v>
      </c>
      <c r="I121" s="19">
        <v>64</v>
      </c>
      <c r="J121" s="17">
        <f ca="1" t="shared" si="10"/>
        <v>30</v>
      </c>
      <c r="M121" s="19">
        <v>30</v>
      </c>
      <c r="XFB121" s="17"/>
    </row>
    <row r="122" spans="4:13 16382:16382">
      <c r="D122" s="176">
        <v>71</v>
      </c>
      <c r="E122" s="176">
        <f ca="1">OFFSET(养成框架!$R$63,MATCH(D122,养成框架!$D$64:$D$96,1),0)</f>
        <v>0.357142857142857</v>
      </c>
      <c r="F122" s="176">
        <f ca="1" t="shared" si="8"/>
        <v>85.5714285714285</v>
      </c>
      <c r="G122" s="197">
        <f ca="1" t="shared" si="7"/>
        <v>85</v>
      </c>
      <c r="H122" s="19">
        <f ca="1" t="shared" si="9"/>
        <v>30</v>
      </c>
      <c r="I122" s="19">
        <v>64</v>
      </c>
      <c r="J122" s="17">
        <f ca="1" t="shared" si="10"/>
        <v>30</v>
      </c>
      <c r="M122" s="19">
        <v>30</v>
      </c>
      <c r="XFB122" s="17"/>
    </row>
    <row r="123" spans="4:13 16382:16382">
      <c r="D123" s="176">
        <v>72</v>
      </c>
      <c r="E123" s="176">
        <f ca="1">OFFSET(养成框架!$R$63,MATCH(D123,养成框架!$D$64:$D$96,1),0)</f>
        <v>0.357142857142857</v>
      </c>
      <c r="F123" s="176">
        <f ca="1" t="shared" si="8"/>
        <v>85.9285714285713</v>
      </c>
      <c r="G123" s="197">
        <f ca="1" t="shared" si="7"/>
        <v>85</v>
      </c>
      <c r="H123" s="19">
        <f ca="1" t="shared" si="9"/>
        <v>30</v>
      </c>
      <c r="I123" s="19">
        <v>64</v>
      </c>
      <c r="J123" s="17">
        <f ca="1" t="shared" si="10"/>
        <v>30</v>
      </c>
      <c r="M123" s="19">
        <v>30</v>
      </c>
      <c r="XFB123" s="17"/>
    </row>
    <row r="124" spans="4:13 16382:16382">
      <c r="D124" s="176">
        <v>73</v>
      </c>
      <c r="E124" s="176">
        <f ca="1">OFFSET(养成框架!$R$63,MATCH(D124,养成框架!$D$64:$D$96,1),0)</f>
        <v>0.357142857142857</v>
      </c>
      <c r="F124" s="176">
        <f ca="1" t="shared" si="8"/>
        <v>86.2857142857142</v>
      </c>
      <c r="G124" s="197">
        <f ca="1" t="shared" si="7"/>
        <v>86</v>
      </c>
      <c r="H124" s="19">
        <f ca="1" t="shared" si="9"/>
        <v>30</v>
      </c>
      <c r="I124" s="19">
        <v>65</v>
      </c>
      <c r="J124" s="17">
        <f ca="1" t="shared" si="10"/>
        <v>30</v>
      </c>
      <c r="M124" s="19">
        <v>30</v>
      </c>
      <c r="XFB124" s="17"/>
    </row>
    <row r="125" spans="4:13 16382:16382">
      <c r="D125" s="176">
        <v>74</v>
      </c>
      <c r="E125" s="176">
        <f ca="1">OFFSET(养成框架!$R$63,MATCH(D125,养成框架!$D$64:$D$96,1),0)</f>
        <v>0.357142857142857</v>
      </c>
      <c r="F125" s="176">
        <f ca="1" t="shared" si="8"/>
        <v>86.6428571428571</v>
      </c>
      <c r="G125" s="197">
        <f ca="1" t="shared" si="7"/>
        <v>86</v>
      </c>
      <c r="H125" s="19">
        <f ca="1" t="shared" si="9"/>
        <v>30</v>
      </c>
      <c r="I125" s="19">
        <v>65</v>
      </c>
      <c r="J125" s="17">
        <f ca="1" t="shared" si="10"/>
        <v>30</v>
      </c>
      <c r="M125" s="19">
        <v>30</v>
      </c>
      <c r="XFB125" s="17"/>
    </row>
    <row r="126" spans="4:13 16382:16382">
      <c r="D126" s="176">
        <v>75</v>
      </c>
      <c r="E126" s="176">
        <f ca="1">OFFSET(养成框架!$R$63,MATCH(D126,养成框架!$D$64:$D$96,1),0)</f>
        <v>0.357142857142857</v>
      </c>
      <c r="F126" s="176">
        <f ca="1" t="shared" si="8"/>
        <v>86.9999999999999</v>
      </c>
      <c r="G126" s="197">
        <f ca="1" t="shared" si="7"/>
        <v>86</v>
      </c>
      <c r="H126" s="19">
        <f ca="1" t="shared" si="9"/>
        <v>30</v>
      </c>
      <c r="I126" s="19">
        <v>66</v>
      </c>
      <c r="J126" s="17">
        <f ca="1" t="shared" si="10"/>
        <v>30</v>
      </c>
      <c r="M126" s="19">
        <v>30</v>
      </c>
      <c r="XFB126" s="17"/>
    </row>
    <row r="127" spans="4:13 16382:16382">
      <c r="D127" s="176">
        <v>76</v>
      </c>
      <c r="E127" s="176">
        <f ca="1">OFFSET(养成框架!$R$63,MATCH(D127,养成框架!$D$64:$D$96,1),0)</f>
        <v>0.357142857142857</v>
      </c>
      <c r="F127" s="176">
        <f ca="1" t="shared" si="8"/>
        <v>87.3571428571428</v>
      </c>
      <c r="G127" s="197">
        <f ca="1" t="shared" si="7"/>
        <v>87</v>
      </c>
      <c r="H127" s="19">
        <f ca="1" t="shared" si="9"/>
        <v>30</v>
      </c>
      <c r="I127" s="19">
        <v>66</v>
      </c>
      <c r="J127" s="17">
        <f ca="1" t="shared" si="10"/>
        <v>30</v>
      </c>
      <c r="M127" s="19">
        <v>30</v>
      </c>
      <c r="XFB127" s="17"/>
    </row>
    <row r="128" spans="4:13 16382:16382">
      <c r="D128" s="176">
        <v>77</v>
      </c>
      <c r="E128" s="176">
        <f ca="1">OFFSET(养成框架!$R$63,MATCH(D128,养成框架!$D$64:$D$96,1),0)</f>
        <v>0.357142857142857</v>
      </c>
      <c r="F128" s="176">
        <f ca="1" t="shared" si="8"/>
        <v>87.7142857142856</v>
      </c>
      <c r="G128" s="197">
        <f ca="1" t="shared" si="7"/>
        <v>87</v>
      </c>
      <c r="H128" s="19">
        <f ca="1" t="shared" si="9"/>
        <v>30</v>
      </c>
      <c r="I128" s="19">
        <v>67</v>
      </c>
      <c r="J128" s="17">
        <f ca="1" t="shared" si="10"/>
        <v>30</v>
      </c>
      <c r="M128" s="19">
        <v>30</v>
      </c>
      <c r="XFB128" s="17"/>
    </row>
    <row r="129" spans="4:13 16382:16382">
      <c r="D129" s="176">
        <v>78</v>
      </c>
      <c r="E129" s="176">
        <f ca="1">OFFSET(养成框架!$R$63,MATCH(D129,养成框架!$D$64:$D$96,1),0)</f>
        <v>0.357142857142857</v>
      </c>
      <c r="F129" s="176">
        <f ca="1" t="shared" si="8"/>
        <v>88.0714285714285</v>
      </c>
      <c r="G129" s="197">
        <f ca="1" t="shared" si="7"/>
        <v>88</v>
      </c>
      <c r="H129" s="19">
        <f ca="1" t="shared" si="9"/>
        <v>30</v>
      </c>
      <c r="I129" s="19">
        <v>67</v>
      </c>
      <c r="J129" s="17">
        <f ca="1" t="shared" si="10"/>
        <v>30</v>
      </c>
      <c r="M129" s="19">
        <v>30</v>
      </c>
      <c r="XFB129" s="17"/>
    </row>
    <row r="130" spans="4:13 16382:16382">
      <c r="D130" s="176">
        <v>79</v>
      </c>
      <c r="E130" s="176">
        <f ca="1">OFFSET(养成框架!$R$63,MATCH(D130,养成框架!$D$64:$D$96,1),0)</f>
        <v>0.357142857142857</v>
      </c>
      <c r="F130" s="176">
        <f ca="1" t="shared" si="8"/>
        <v>88.4285714285714</v>
      </c>
      <c r="G130" s="197">
        <f ca="1" t="shared" si="7"/>
        <v>88</v>
      </c>
      <c r="H130" s="19">
        <f ca="1" t="shared" si="9"/>
        <v>30</v>
      </c>
      <c r="I130" s="19">
        <v>67</v>
      </c>
      <c r="J130" s="17">
        <f ca="1" t="shared" si="10"/>
        <v>30</v>
      </c>
      <c r="M130" s="19">
        <v>30</v>
      </c>
      <c r="XFB130" s="17"/>
    </row>
    <row r="131" spans="4:13 16382:16382">
      <c r="D131" s="176">
        <v>80</v>
      </c>
      <c r="E131" s="176">
        <f ca="1">OFFSET(养成框架!$R$63,MATCH(D131,养成框架!$D$64:$D$96,1),0)</f>
        <v>0.357142857142857</v>
      </c>
      <c r="F131" s="176">
        <f ca="1" t="shared" si="8"/>
        <v>88.7857142857142</v>
      </c>
      <c r="G131" s="197">
        <f ca="1" t="shared" si="7"/>
        <v>88</v>
      </c>
      <c r="H131" s="19">
        <f ca="1" t="shared" si="9"/>
        <v>30</v>
      </c>
      <c r="I131" s="19">
        <v>67</v>
      </c>
      <c r="J131" s="17">
        <f ca="1" t="shared" si="10"/>
        <v>30</v>
      </c>
      <c r="M131" s="19">
        <v>30</v>
      </c>
      <c r="XFB131" s="17"/>
    </row>
    <row r="132" spans="4:13 16382:16382">
      <c r="D132" s="176">
        <v>81</v>
      </c>
      <c r="E132" s="176">
        <f ca="1">OFFSET(养成框架!$R$63,MATCH(D132,养成框架!$D$64:$D$96,1),0)</f>
        <v>0.357142857142857</v>
      </c>
      <c r="F132" s="176">
        <f ca="1" t="shared" si="8"/>
        <v>89.1428571428571</v>
      </c>
      <c r="G132" s="197">
        <f ca="1" t="shared" si="7"/>
        <v>89</v>
      </c>
      <c r="H132" s="19">
        <f ca="1" t="shared" si="9"/>
        <v>30</v>
      </c>
      <c r="I132" s="19">
        <v>68</v>
      </c>
      <c r="J132" s="17">
        <f ca="1" t="shared" si="10"/>
        <v>30</v>
      </c>
      <c r="M132" s="19">
        <v>30</v>
      </c>
      <c r="XFB132" s="17"/>
    </row>
    <row r="133" spans="4:13 16382:16382">
      <c r="D133" s="176">
        <v>82</v>
      </c>
      <c r="E133" s="176">
        <f ca="1">OFFSET(养成框架!$R$63,MATCH(D133,养成框架!$D$64:$D$96,1),0)</f>
        <v>0.357142857142857</v>
      </c>
      <c r="F133" s="176">
        <f ca="1" t="shared" si="8"/>
        <v>89.4999999999999</v>
      </c>
      <c r="G133" s="197">
        <f ca="1" t="shared" si="7"/>
        <v>89</v>
      </c>
      <c r="H133" s="19">
        <f ca="1" t="shared" si="9"/>
        <v>30</v>
      </c>
      <c r="I133" s="19">
        <v>68</v>
      </c>
      <c r="J133" s="17">
        <f ca="1" t="shared" si="10"/>
        <v>30</v>
      </c>
      <c r="M133" s="19">
        <v>30</v>
      </c>
      <c r="XFB133" s="17"/>
    </row>
    <row r="134" spans="4:13 16382:16382">
      <c r="D134" s="176">
        <v>83</v>
      </c>
      <c r="E134" s="176">
        <f ca="1">OFFSET(养成框架!$R$63,MATCH(D134,养成框架!$D$64:$D$96,1),0)</f>
        <v>0.357142857142857</v>
      </c>
      <c r="F134" s="176">
        <f ca="1" t="shared" si="8"/>
        <v>89.8571428571428</v>
      </c>
      <c r="G134" s="197">
        <f ca="1" t="shared" si="7"/>
        <v>89</v>
      </c>
      <c r="H134" s="19">
        <f ca="1" t="shared" si="9"/>
        <v>30</v>
      </c>
      <c r="I134" s="19">
        <v>69</v>
      </c>
      <c r="J134" s="17">
        <f ca="1" t="shared" si="10"/>
        <v>30</v>
      </c>
      <c r="M134" s="19">
        <v>30</v>
      </c>
      <c r="XFB134" s="17"/>
    </row>
    <row r="135" spans="4:13 16382:16382">
      <c r="D135" s="176">
        <v>84</v>
      </c>
      <c r="E135" s="176">
        <f ca="1">OFFSET(养成框架!$R$63,MATCH(D135,养成框架!$D$64:$D$96,1),0)</f>
        <v>0.357142857142857</v>
      </c>
      <c r="F135" s="176">
        <f ca="1" t="shared" si="8"/>
        <v>90.2142857142857</v>
      </c>
      <c r="G135" s="197">
        <f ca="1" t="shared" si="7"/>
        <v>90</v>
      </c>
      <c r="H135" s="19">
        <f ca="1" t="shared" si="9"/>
        <v>30</v>
      </c>
      <c r="I135" s="19">
        <v>69</v>
      </c>
      <c r="J135" s="17">
        <f ca="1" t="shared" si="10"/>
        <v>30</v>
      </c>
      <c r="M135" s="19">
        <v>30</v>
      </c>
      <c r="XFB135" s="17"/>
    </row>
    <row r="136" spans="4:13 16382:16382">
      <c r="D136" s="176">
        <v>85</v>
      </c>
      <c r="E136" s="176">
        <f ca="1">OFFSET(养成框架!$R$63,MATCH(D136,养成框架!$D$64:$D$96,1),0)</f>
        <v>0.357142857142857</v>
      </c>
      <c r="F136" s="176">
        <f ca="1" t="shared" si="8"/>
        <v>90.5714285714285</v>
      </c>
      <c r="G136" s="197">
        <f ca="1" t="shared" si="7"/>
        <v>90</v>
      </c>
      <c r="H136" s="19">
        <f ca="1" t="shared" si="9"/>
        <v>30</v>
      </c>
      <c r="I136" s="19">
        <v>69</v>
      </c>
      <c r="J136" s="17">
        <f ca="1" t="shared" si="10"/>
        <v>30</v>
      </c>
      <c r="M136" s="19">
        <v>30</v>
      </c>
      <c r="XFB136" s="17"/>
    </row>
    <row r="137" spans="4:13 16382:16382">
      <c r="D137" s="176">
        <v>86</v>
      </c>
      <c r="E137" s="176">
        <f ca="1">OFFSET(养成框架!$R$63,MATCH(D137,养成框架!$D$64:$D$96,1),0)</f>
        <v>0.357142857142857</v>
      </c>
      <c r="F137" s="176">
        <f ca="1" t="shared" si="8"/>
        <v>90.9285714285714</v>
      </c>
      <c r="G137" s="197">
        <f ca="1" t="shared" si="7"/>
        <v>90</v>
      </c>
      <c r="H137" s="19">
        <f ca="1" t="shared" si="9"/>
        <v>30</v>
      </c>
      <c r="I137" s="19">
        <v>69</v>
      </c>
      <c r="J137" s="17">
        <f ca="1" t="shared" si="10"/>
        <v>30</v>
      </c>
      <c r="M137" s="19">
        <v>30</v>
      </c>
      <c r="XFB137" s="17"/>
    </row>
    <row r="138" spans="4:13 16382:16382">
      <c r="D138" s="176">
        <v>87</v>
      </c>
      <c r="E138" s="176">
        <f ca="1">OFFSET(养成框架!$R$63,MATCH(D138,养成框架!$D$64:$D$96,1),0)</f>
        <v>0.357142857142857</v>
      </c>
      <c r="F138" s="176">
        <f ca="1" t="shared" si="8"/>
        <v>91.2857142857142</v>
      </c>
      <c r="G138" s="197">
        <f ca="1" t="shared" si="7"/>
        <v>91</v>
      </c>
      <c r="H138" s="19">
        <f ca="1" t="shared" si="9"/>
        <v>30</v>
      </c>
      <c r="I138" s="19">
        <v>70</v>
      </c>
      <c r="J138" s="17">
        <f ca="1" t="shared" si="10"/>
        <v>30</v>
      </c>
      <c r="M138" s="19">
        <v>30</v>
      </c>
      <c r="XFB138" s="17"/>
    </row>
    <row r="139" spans="4:13 16382:16382">
      <c r="D139" s="176">
        <v>88</v>
      </c>
      <c r="E139" s="176">
        <f ca="1">OFFSET(养成框架!$R$63,MATCH(D139,养成框架!$D$64:$D$96,1),0)</f>
        <v>0.357142857142857</v>
      </c>
      <c r="F139" s="176">
        <f ca="1" t="shared" si="8"/>
        <v>91.6428571428571</v>
      </c>
      <c r="G139" s="197">
        <f ca="1" t="shared" si="7"/>
        <v>91</v>
      </c>
      <c r="H139" s="19">
        <f ca="1" t="shared" si="9"/>
        <v>30</v>
      </c>
      <c r="I139" s="19">
        <v>70</v>
      </c>
      <c r="J139" s="17">
        <f ca="1" t="shared" si="10"/>
        <v>30</v>
      </c>
      <c r="M139" s="19">
        <v>30</v>
      </c>
      <c r="XFB139" s="17"/>
    </row>
    <row r="140" spans="4:13 16382:16382">
      <c r="D140" s="176">
        <v>89</v>
      </c>
      <c r="E140" s="176">
        <f ca="1">OFFSET(养成框架!$R$63,MATCH(D140,养成框架!$D$64:$D$96,1),0)</f>
        <v>0.357142857142857</v>
      </c>
      <c r="F140" s="176">
        <f ca="1" t="shared" si="8"/>
        <v>92</v>
      </c>
      <c r="G140" s="197">
        <f ca="1" t="shared" si="7"/>
        <v>92</v>
      </c>
      <c r="H140" s="19">
        <f ca="1" t="shared" si="9"/>
        <v>30</v>
      </c>
      <c r="I140" s="19">
        <v>71</v>
      </c>
      <c r="J140" s="17">
        <f ca="1" t="shared" si="10"/>
        <v>30</v>
      </c>
      <c r="M140" s="19">
        <v>30</v>
      </c>
      <c r="XFB140" s="17"/>
    </row>
    <row r="141" spans="4:13 16382:16382">
      <c r="D141" s="176">
        <v>90</v>
      </c>
      <c r="E141" s="176">
        <f ca="1">OFFSET(养成框架!$R$63,MATCH(D141,养成框架!$D$64:$D$96,1),0)</f>
        <v>0.357142857142857</v>
      </c>
      <c r="F141" s="176">
        <f ca="1" t="shared" si="8"/>
        <v>92.3571428571428</v>
      </c>
      <c r="G141" s="197">
        <f ca="1" t="shared" si="7"/>
        <v>92</v>
      </c>
      <c r="H141" s="19">
        <f ca="1" t="shared" si="9"/>
        <v>30</v>
      </c>
      <c r="I141" s="19">
        <v>71</v>
      </c>
      <c r="J141" s="17">
        <f ca="1" t="shared" si="10"/>
        <v>30</v>
      </c>
      <c r="M141" s="19">
        <v>30</v>
      </c>
      <c r="XFB141" s="17"/>
    </row>
    <row r="142" spans="4:13 16382:16382">
      <c r="D142" s="176">
        <v>91</v>
      </c>
      <c r="E142" s="176">
        <f ca="1">OFFSET(养成框架!$R$63,MATCH(D142,养成框架!$D$64:$D$96,1),0)</f>
        <v>0.357142857142857</v>
      </c>
      <c r="F142" s="176">
        <f ca="1" t="shared" si="8"/>
        <v>92.7142857142857</v>
      </c>
      <c r="G142" s="197">
        <f ca="1" t="shared" si="7"/>
        <v>92</v>
      </c>
      <c r="H142" s="19">
        <f ca="1" t="shared" si="9"/>
        <v>30</v>
      </c>
      <c r="I142" s="19">
        <v>71</v>
      </c>
      <c r="J142" s="17">
        <f ca="1" t="shared" si="10"/>
        <v>30</v>
      </c>
      <c r="M142" s="19">
        <v>30</v>
      </c>
      <c r="XFB142" s="17"/>
    </row>
    <row r="143" spans="4:13 16382:16382">
      <c r="D143" s="176">
        <v>92</v>
      </c>
      <c r="E143" s="176">
        <f ca="1">OFFSET(养成框架!$R$63,MATCH(D143,养成框架!$D$64:$D$96,1),0)</f>
        <v>0.357142857142857</v>
      </c>
      <c r="F143" s="176">
        <f ca="1" t="shared" si="8"/>
        <v>93.0714285714286</v>
      </c>
      <c r="G143" s="197">
        <f ca="1" t="shared" si="7"/>
        <v>93</v>
      </c>
      <c r="H143" s="19">
        <f ca="1" t="shared" si="9"/>
        <v>30</v>
      </c>
      <c r="I143" s="19">
        <v>71</v>
      </c>
      <c r="J143" s="17">
        <f ca="1" t="shared" si="10"/>
        <v>30</v>
      </c>
      <c r="M143" s="19">
        <v>30</v>
      </c>
      <c r="XFB143" s="17"/>
    </row>
    <row r="144" spans="4:13 16382:16382">
      <c r="D144" s="176">
        <v>93</v>
      </c>
      <c r="E144" s="176">
        <f ca="1">OFFSET(养成框架!$R$63,MATCH(D144,养成框架!$D$64:$D$96,1),0)</f>
        <v>0.357142857142857</v>
      </c>
      <c r="F144" s="176">
        <f ca="1" t="shared" si="8"/>
        <v>93.4285714285714</v>
      </c>
      <c r="G144" s="197">
        <f ca="1" t="shared" si="7"/>
        <v>93</v>
      </c>
      <c r="H144" s="19">
        <f ca="1" t="shared" si="9"/>
        <v>30</v>
      </c>
      <c r="I144" s="19">
        <v>72</v>
      </c>
      <c r="J144" s="17">
        <f ca="1" t="shared" si="10"/>
        <v>30</v>
      </c>
      <c r="M144" s="19">
        <v>30</v>
      </c>
      <c r="XFB144" s="17"/>
    </row>
    <row r="145" spans="4:13 16382:16382">
      <c r="D145" s="176">
        <v>94</v>
      </c>
      <c r="E145" s="176">
        <f ca="1">OFFSET(养成框架!$R$63,MATCH(D145,养成框架!$D$64:$D$96,1),0)</f>
        <v>0.357142857142857</v>
      </c>
      <c r="F145" s="176">
        <f ca="1" t="shared" si="8"/>
        <v>93.7857142857143</v>
      </c>
      <c r="G145" s="197">
        <f ca="1" t="shared" si="7"/>
        <v>93</v>
      </c>
      <c r="H145" s="19">
        <f ca="1" t="shared" si="9"/>
        <v>30</v>
      </c>
      <c r="I145" s="19">
        <v>73</v>
      </c>
      <c r="J145" s="17">
        <f ca="1" t="shared" si="10"/>
        <v>30</v>
      </c>
      <c r="M145" s="19">
        <v>30</v>
      </c>
      <c r="XFB145" s="17"/>
    </row>
    <row r="146" spans="4:13 16382:16382">
      <c r="D146" s="176">
        <v>95</v>
      </c>
      <c r="E146" s="176">
        <f ca="1">OFFSET(养成框架!$R$63,MATCH(D146,养成框架!$D$64:$D$96,1),0)</f>
        <v>0.357142857142857</v>
      </c>
      <c r="F146" s="176">
        <f ca="1" t="shared" si="8"/>
        <v>94.1428571428571</v>
      </c>
      <c r="G146" s="197">
        <f ca="1" t="shared" si="7"/>
        <v>94</v>
      </c>
      <c r="H146" s="19">
        <f ca="1" t="shared" si="9"/>
        <v>30</v>
      </c>
      <c r="I146" s="19">
        <v>73</v>
      </c>
      <c r="J146" s="17">
        <f ca="1" t="shared" si="10"/>
        <v>30</v>
      </c>
      <c r="M146" s="19">
        <v>30</v>
      </c>
      <c r="XFB146" s="17"/>
    </row>
    <row r="147" spans="4:13 16382:16382">
      <c r="D147" s="176">
        <v>96</v>
      </c>
      <c r="E147" s="176">
        <f ca="1">OFFSET(养成框架!$R$63,MATCH(D147,养成框架!$D$64:$D$96,1),0)</f>
        <v>0.357142857142857</v>
      </c>
      <c r="F147" s="176">
        <f ca="1" t="shared" si="8"/>
        <v>94.5</v>
      </c>
      <c r="G147" s="197">
        <f ca="1" t="shared" si="7"/>
        <v>94</v>
      </c>
      <c r="H147" s="19">
        <f ca="1" t="shared" si="9"/>
        <v>30</v>
      </c>
      <c r="I147" s="19">
        <v>73</v>
      </c>
      <c r="J147" s="17">
        <f ca="1" t="shared" si="10"/>
        <v>30</v>
      </c>
      <c r="M147" s="19">
        <v>30</v>
      </c>
      <c r="XFB147" s="17"/>
    </row>
    <row r="148" spans="4:13 16382:16382">
      <c r="D148" s="176">
        <v>97</v>
      </c>
      <c r="E148" s="176">
        <f ca="1">OFFSET(养成框架!$R$63,MATCH(D148,养成框架!$D$64:$D$96,1),0)</f>
        <v>0.357142857142857</v>
      </c>
      <c r="F148" s="176">
        <f ca="1" t="shared" si="8"/>
        <v>94.8571428571429</v>
      </c>
      <c r="G148" s="197">
        <f ca="1" t="shared" si="7"/>
        <v>94</v>
      </c>
      <c r="H148" s="19">
        <f ca="1" t="shared" si="9"/>
        <v>30</v>
      </c>
      <c r="I148" s="19">
        <v>74</v>
      </c>
      <c r="J148" s="17">
        <f ca="1" t="shared" si="10"/>
        <v>30</v>
      </c>
      <c r="M148" s="19">
        <v>30</v>
      </c>
      <c r="XFB148" s="17"/>
    </row>
    <row r="149" spans="4:13 16382:16382">
      <c r="D149" s="176">
        <v>98</v>
      </c>
      <c r="E149" s="176">
        <f ca="1">OFFSET(养成框架!$R$63,MATCH(D149,养成框架!$D$64:$D$96,1),0)</f>
        <v>0.357142857142857</v>
      </c>
      <c r="F149" s="176">
        <f ca="1" t="shared" si="8"/>
        <v>95.2142857142857</v>
      </c>
      <c r="G149" s="197">
        <f ca="1" t="shared" si="7"/>
        <v>95</v>
      </c>
      <c r="H149" s="19">
        <f ca="1" t="shared" si="9"/>
        <v>30</v>
      </c>
      <c r="I149" s="19">
        <v>74</v>
      </c>
      <c r="J149" s="17">
        <f ca="1" t="shared" si="10"/>
        <v>30</v>
      </c>
      <c r="M149" s="19">
        <v>30</v>
      </c>
      <c r="XFB149" s="17"/>
    </row>
    <row r="150" spans="4:13 16382:16382">
      <c r="D150" s="176">
        <v>99</v>
      </c>
      <c r="E150" s="176">
        <f ca="1">OFFSET(养成框架!$R$63,MATCH(D150,养成框架!$D$64:$D$96,1),0)</f>
        <v>0.357142857142857</v>
      </c>
      <c r="F150" s="176">
        <f ca="1" t="shared" si="8"/>
        <v>95.5714285714286</v>
      </c>
      <c r="G150" s="197">
        <f ca="1" t="shared" si="7"/>
        <v>95</v>
      </c>
      <c r="H150" s="19">
        <f ca="1" t="shared" si="9"/>
        <v>30</v>
      </c>
      <c r="I150" s="19">
        <v>74</v>
      </c>
      <c r="J150" s="17">
        <f ca="1" t="shared" si="10"/>
        <v>30</v>
      </c>
      <c r="M150" s="19">
        <v>30</v>
      </c>
      <c r="XFB150" s="17"/>
    </row>
    <row r="151" spans="4:13 16382:16382">
      <c r="D151" s="176">
        <v>100</v>
      </c>
      <c r="E151" s="176">
        <f ca="1">OFFSET(养成框架!$R$63,MATCH(D151,养成框架!$D$64:$D$96,1),0)</f>
        <v>0.357142857142857</v>
      </c>
      <c r="F151" s="176">
        <f ca="1" t="shared" si="8"/>
        <v>95.9285714285714</v>
      </c>
      <c r="G151" s="197">
        <f ca="1" t="shared" si="7"/>
        <v>95</v>
      </c>
      <c r="H151" s="19">
        <f ca="1" t="shared" si="9"/>
        <v>30</v>
      </c>
      <c r="I151" s="19">
        <v>75</v>
      </c>
      <c r="J151" s="17">
        <f ca="1" t="shared" si="10"/>
        <v>30</v>
      </c>
      <c r="M151" s="19">
        <v>30</v>
      </c>
      <c r="XFB151" s="17"/>
    </row>
    <row r="152" spans="4:13 16382:16382">
      <c r="D152" s="176">
        <v>101</v>
      </c>
      <c r="E152" s="176">
        <f ca="1">OFFSET(养成框架!$R$63,MATCH(D152,养成框架!$D$64:$D$96,1),0)</f>
        <v>0.357142857142857</v>
      </c>
      <c r="F152" s="176">
        <f ca="1" t="shared" si="8"/>
        <v>96.2857142857143</v>
      </c>
      <c r="G152" s="197">
        <f ca="1" t="shared" si="7"/>
        <v>96</v>
      </c>
      <c r="H152" s="19">
        <f ca="1" t="shared" si="9"/>
        <v>30</v>
      </c>
      <c r="I152" s="19">
        <v>75</v>
      </c>
      <c r="J152" s="17">
        <f ca="1" t="shared" si="10"/>
        <v>30</v>
      </c>
      <c r="M152" s="19">
        <v>30</v>
      </c>
      <c r="XFB152" s="17"/>
    </row>
    <row r="153" spans="4:13 16382:16382">
      <c r="D153" s="176">
        <v>102</v>
      </c>
      <c r="E153" s="176">
        <f ca="1">OFFSET(养成框架!$R$63,MATCH(D153,养成框架!$D$64:$D$96,1),0)</f>
        <v>0.357142857142857</v>
      </c>
      <c r="F153" s="176">
        <f ca="1" t="shared" si="8"/>
        <v>96.6428571428572</v>
      </c>
      <c r="G153" s="197">
        <f ca="1" t="shared" si="7"/>
        <v>96</v>
      </c>
      <c r="H153" s="19">
        <f ca="1" t="shared" si="9"/>
        <v>30</v>
      </c>
      <c r="I153" s="19">
        <v>75</v>
      </c>
      <c r="J153" s="17">
        <f ca="1" t="shared" si="10"/>
        <v>30</v>
      </c>
      <c r="M153" s="19">
        <v>30</v>
      </c>
      <c r="XFB153" s="17"/>
    </row>
    <row r="154" spans="4:13 16382:16382">
      <c r="D154" s="176">
        <v>103</v>
      </c>
      <c r="E154" s="176">
        <f ca="1">OFFSET(养成框架!$R$63,MATCH(D154,养成框架!$D$64:$D$96,1),0)</f>
        <v>0.357142857142857</v>
      </c>
      <c r="F154" s="176">
        <f ca="1" t="shared" si="8"/>
        <v>97</v>
      </c>
      <c r="G154" s="197">
        <f ca="1" t="shared" si="7"/>
        <v>97</v>
      </c>
      <c r="H154" s="19">
        <f ca="1" t="shared" si="9"/>
        <v>30</v>
      </c>
      <c r="I154" s="19">
        <v>76</v>
      </c>
      <c r="J154" s="17">
        <f ca="1" t="shared" si="10"/>
        <v>30</v>
      </c>
      <c r="M154" s="19">
        <v>30</v>
      </c>
      <c r="XFB154" s="17"/>
    </row>
    <row r="155" spans="4:13 16382:16382">
      <c r="D155" s="176">
        <v>104</v>
      </c>
      <c r="E155" s="176">
        <f ca="1">OFFSET(养成框架!$R$63,MATCH(D155,养成框架!$D$64:$D$96,1),0)</f>
        <v>0.357142857142857</v>
      </c>
      <c r="F155" s="176">
        <f ca="1" t="shared" si="8"/>
        <v>97.3571428571429</v>
      </c>
      <c r="G155" s="197">
        <f ca="1" t="shared" si="7"/>
        <v>97</v>
      </c>
      <c r="H155" s="19">
        <f ca="1" t="shared" si="9"/>
        <v>30</v>
      </c>
      <c r="I155" s="19">
        <v>76</v>
      </c>
      <c r="J155" s="17">
        <f ca="1" t="shared" si="10"/>
        <v>30</v>
      </c>
      <c r="M155" s="19">
        <v>30</v>
      </c>
      <c r="XFB155" s="17"/>
    </row>
    <row r="156" spans="4:13 16382:16382">
      <c r="D156" s="176">
        <v>105</v>
      </c>
      <c r="E156" s="176">
        <f ca="1">OFFSET(养成框架!$R$63,MATCH(D156,养成框架!$D$64:$D$96,1),0)</f>
        <v>0.357142857142857</v>
      </c>
      <c r="F156" s="176">
        <f ca="1" t="shared" si="8"/>
        <v>97.7142857142858</v>
      </c>
      <c r="G156" s="197">
        <f ca="1" t="shared" si="7"/>
        <v>97</v>
      </c>
      <c r="H156" s="19">
        <f ca="1" t="shared" si="9"/>
        <v>30</v>
      </c>
      <c r="I156" s="19">
        <v>76</v>
      </c>
      <c r="J156" s="17">
        <f ca="1" t="shared" si="10"/>
        <v>30</v>
      </c>
      <c r="M156" s="19">
        <v>30</v>
      </c>
      <c r="XFB156" s="17"/>
    </row>
    <row r="157" spans="4:13 16382:16382">
      <c r="D157" s="176">
        <v>106</v>
      </c>
      <c r="E157" s="176">
        <f ca="1">OFFSET(养成框架!$R$63,MATCH(D157,养成框架!$D$64:$D$96,1),0)</f>
        <v>0.357142857142857</v>
      </c>
      <c r="F157" s="176">
        <f ca="1" t="shared" si="8"/>
        <v>98.0714285714286</v>
      </c>
      <c r="G157" s="197">
        <f ca="1" t="shared" si="7"/>
        <v>98</v>
      </c>
      <c r="H157" s="19">
        <f ca="1" t="shared" si="9"/>
        <v>30</v>
      </c>
      <c r="I157" s="19">
        <v>77</v>
      </c>
      <c r="J157" s="17">
        <f ca="1" t="shared" si="10"/>
        <v>30</v>
      </c>
      <c r="M157" s="19">
        <v>30</v>
      </c>
      <c r="XFB157" s="17"/>
    </row>
    <row r="158" spans="4:13 16382:16382">
      <c r="D158" s="176">
        <v>107</v>
      </c>
      <c r="E158" s="176">
        <f ca="1">OFFSET(养成框架!$R$63,MATCH(D158,养成框架!$D$64:$D$96,1),0)</f>
        <v>0.357142857142857</v>
      </c>
      <c r="F158" s="176">
        <f ca="1" t="shared" si="8"/>
        <v>98.4285714285715</v>
      </c>
      <c r="G158" s="197">
        <f ca="1" t="shared" si="7"/>
        <v>98</v>
      </c>
      <c r="H158" s="19">
        <f ca="1" t="shared" si="9"/>
        <v>30</v>
      </c>
      <c r="I158" s="19">
        <v>77</v>
      </c>
      <c r="J158" s="17">
        <f ca="1" t="shared" si="10"/>
        <v>30</v>
      </c>
      <c r="M158" s="19">
        <v>30</v>
      </c>
      <c r="XFB158" s="17"/>
    </row>
    <row r="159" spans="4:13 16382:16382">
      <c r="D159" s="176">
        <v>108</v>
      </c>
      <c r="E159" s="176">
        <f ca="1">OFFSET(养成框架!$R$63,MATCH(D159,养成框架!$D$64:$D$96,1),0)</f>
        <v>0.357142857142857</v>
      </c>
      <c r="F159" s="176">
        <f ca="1" t="shared" si="8"/>
        <v>98.7857142857143</v>
      </c>
      <c r="G159" s="197">
        <f ca="1" t="shared" si="7"/>
        <v>98</v>
      </c>
      <c r="H159" s="19">
        <f ca="1" t="shared" si="9"/>
        <v>30</v>
      </c>
      <c r="I159" s="19">
        <v>78</v>
      </c>
      <c r="J159" s="17">
        <f ca="1" t="shared" si="10"/>
        <v>30</v>
      </c>
      <c r="M159" s="19">
        <v>30</v>
      </c>
      <c r="XFB159" s="17"/>
    </row>
    <row r="160" spans="4:13 16382:16382">
      <c r="D160" s="176">
        <v>109</v>
      </c>
      <c r="E160" s="176">
        <f ca="1">OFFSET(养成框架!$R$63,MATCH(D160,养成框架!$D$64:$D$96,1),0)</f>
        <v>0.357142857142857</v>
      </c>
      <c r="F160" s="176">
        <f ca="1" t="shared" si="8"/>
        <v>99.1428571428572</v>
      </c>
      <c r="G160" s="197">
        <f ca="1" t="shared" si="7"/>
        <v>99</v>
      </c>
      <c r="H160" s="19">
        <f ca="1" t="shared" si="9"/>
        <v>30</v>
      </c>
      <c r="I160" s="19">
        <v>78</v>
      </c>
      <c r="J160" s="17">
        <f ca="1" t="shared" si="10"/>
        <v>30</v>
      </c>
      <c r="M160" s="19">
        <v>30</v>
      </c>
      <c r="XFB160" s="17"/>
    </row>
    <row r="161" spans="4:13 16382:16382">
      <c r="D161" s="176">
        <v>110</v>
      </c>
      <c r="E161" s="176">
        <f ca="1">OFFSET(养成框架!$R$63,MATCH(D161,养成框架!$D$64:$D$96,1),0)</f>
        <v>0.357142857142857</v>
      </c>
      <c r="F161" s="176">
        <f ca="1" t="shared" si="8"/>
        <v>99.5000000000001</v>
      </c>
      <c r="G161" s="197">
        <f ca="1" t="shared" si="7"/>
        <v>99</v>
      </c>
      <c r="H161" s="19">
        <f ca="1" t="shared" si="9"/>
        <v>30</v>
      </c>
      <c r="I161" s="19">
        <v>78</v>
      </c>
      <c r="J161" s="17">
        <f ca="1" t="shared" si="10"/>
        <v>30</v>
      </c>
      <c r="M161" s="19">
        <v>30</v>
      </c>
      <c r="XFB161" s="17"/>
    </row>
    <row r="162" spans="4:13 16382:16382">
      <c r="D162" s="176">
        <v>111</v>
      </c>
      <c r="E162" s="176">
        <f ca="1">OFFSET(养成框架!$R$63,MATCH(D162,养成框架!$D$64:$D$96,1),0)</f>
        <v>0.357142857142857</v>
      </c>
      <c r="F162" s="176">
        <f ca="1" t="shared" si="8"/>
        <v>99.8571428571429</v>
      </c>
      <c r="G162" s="197">
        <f ca="1" t="shared" si="7"/>
        <v>99</v>
      </c>
      <c r="H162" s="19">
        <f ca="1" t="shared" si="9"/>
        <v>30</v>
      </c>
      <c r="I162" s="19">
        <v>79</v>
      </c>
      <c r="J162" s="17">
        <f ca="1" t="shared" si="10"/>
        <v>30</v>
      </c>
      <c r="M162" s="19">
        <v>30</v>
      </c>
      <c r="XFB162" s="17"/>
    </row>
    <row r="163" spans="4:13 16382:16382">
      <c r="D163" s="176">
        <v>112</v>
      </c>
      <c r="E163" s="176">
        <f ca="1">OFFSET(养成框架!$R$63,MATCH(D163,养成框架!$D$64:$D$96,1),0)</f>
        <v>0.357142857142857</v>
      </c>
      <c r="F163" s="176">
        <f ca="1" t="shared" si="8"/>
        <v>100.214285714286</v>
      </c>
      <c r="G163" s="197">
        <f ca="1" t="shared" si="7"/>
        <v>100</v>
      </c>
      <c r="H163" s="19">
        <f ca="1" t="shared" si="9"/>
        <v>30</v>
      </c>
      <c r="I163" s="19">
        <v>79</v>
      </c>
      <c r="J163" s="17">
        <f ca="1" t="shared" si="10"/>
        <v>30</v>
      </c>
      <c r="M163" s="19">
        <v>30</v>
      </c>
      <c r="XFB163" s="17"/>
    </row>
    <row r="164" spans="4:13 16382:16382">
      <c r="D164" s="176">
        <v>113</v>
      </c>
      <c r="E164" s="176">
        <f ca="1">OFFSET(养成框架!$R$63,MATCH(D164,养成框架!$D$64:$D$96,1),0)</f>
        <v>0.357142857142857</v>
      </c>
      <c r="F164" s="176">
        <f ca="1" t="shared" si="8"/>
        <v>100.571428571429</v>
      </c>
      <c r="G164" s="197">
        <f ca="1" t="shared" si="7"/>
        <v>100</v>
      </c>
      <c r="H164" s="19">
        <f ca="1" t="shared" si="9"/>
        <v>30</v>
      </c>
      <c r="I164" s="19">
        <v>79</v>
      </c>
      <c r="J164" s="17">
        <f ca="1" t="shared" si="10"/>
        <v>30</v>
      </c>
      <c r="M164" s="19">
        <v>30</v>
      </c>
      <c r="XFB164" s="17"/>
    </row>
    <row r="165" spans="4:13 16382:16382">
      <c r="D165" s="176">
        <v>114</v>
      </c>
      <c r="E165" s="176">
        <f ca="1">OFFSET(养成框架!$R$63,MATCH(D165,养成框架!$D$64:$D$96,1),0)</f>
        <v>0.357142857142857</v>
      </c>
      <c r="F165" s="176">
        <f ca="1" t="shared" si="8"/>
        <v>100.928571428572</v>
      </c>
      <c r="G165" s="197">
        <f ca="1" t="shared" si="7"/>
        <v>100</v>
      </c>
      <c r="H165" s="19">
        <f ca="1" t="shared" si="9"/>
        <v>30</v>
      </c>
      <c r="I165" s="19">
        <v>80</v>
      </c>
      <c r="J165" s="17">
        <f ca="1" t="shared" si="10"/>
        <v>30</v>
      </c>
      <c r="M165" s="19">
        <v>30</v>
      </c>
      <c r="XFB165" s="17"/>
    </row>
    <row r="166" spans="4:13 16382:16382">
      <c r="D166" s="176">
        <v>115</v>
      </c>
      <c r="E166" s="176">
        <f ca="1">OFFSET(养成框架!$R$63,MATCH(D166,养成框架!$D$64:$D$96,1),0)</f>
        <v>0.357142857142857</v>
      </c>
      <c r="F166" s="176">
        <f ca="1" t="shared" si="8"/>
        <v>101.285714285714</v>
      </c>
      <c r="G166" s="197">
        <f ca="1" t="shared" si="7"/>
        <v>101</v>
      </c>
      <c r="H166" s="19">
        <f ca="1" t="shared" si="9"/>
        <v>30</v>
      </c>
      <c r="I166" s="19">
        <v>80</v>
      </c>
      <c r="J166" s="17">
        <f ca="1" t="shared" si="10"/>
        <v>30</v>
      </c>
      <c r="M166" s="19">
        <v>30</v>
      </c>
      <c r="XFB166" s="17"/>
    </row>
    <row r="167" spans="4:13 16382:16382">
      <c r="D167" s="176">
        <v>116</v>
      </c>
      <c r="E167" s="176">
        <f ca="1">OFFSET(养成框架!$R$63,MATCH(D167,养成框架!$D$64:$D$96,1),0)</f>
        <v>0.357142857142857</v>
      </c>
      <c r="F167" s="176">
        <f ca="1" t="shared" si="8"/>
        <v>101.642857142857</v>
      </c>
      <c r="G167" s="197">
        <f ca="1" t="shared" si="7"/>
        <v>101</v>
      </c>
      <c r="H167" s="19">
        <f ca="1" t="shared" si="9"/>
        <v>30</v>
      </c>
      <c r="I167" s="19">
        <v>81</v>
      </c>
      <c r="J167" s="17">
        <f ca="1" t="shared" si="10"/>
        <v>30</v>
      </c>
      <c r="M167" s="19">
        <v>30</v>
      </c>
      <c r="XFB167" s="17"/>
    </row>
    <row r="168" spans="4:13 16382:16382">
      <c r="D168" s="176">
        <v>117</v>
      </c>
      <c r="E168" s="176">
        <f ca="1">OFFSET(养成框架!$R$63,MATCH(D168,养成框架!$D$64:$D$96,1),0)</f>
        <v>0.357142857142857</v>
      </c>
      <c r="F168" s="176">
        <f ca="1" t="shared" si="8"/>
        <v>102</v>
      </c>
      <c r="G168" s="197">
        <f ca="1" t="shared" si="7"/>
        <v>102</v>
      </c>
      <c r="H168" s="19">
        <f ca="1" t="shared" si="9"/>
        <v>30</v>
      </c>
      <c r="I168" s="19">
        <v>81</v>
      </c>
      <c r="J168" s="17">
        <f ca="1" t="shared" si="10"/>
        <v>30</v>
      </c>
      <c r="M168" s="19">
        <v>30</v>
      </c>
      <c r="XFB168" s="17"/>
    </row>
    <row r="169" spans="4:13 16382:16382">
      <c r="D169" s="176">
        <v>118</v>
      </c>
      <c r="E169" s="176">
        <f ca="1">OFFSET(养成框架!$R$63,MATCH(D169,养成框架!$D$64:$D$96,1),0)</f>
        <v>0.357142857142857</v>
      </c>
      <c r="F169" s="176">
        <f ca="1" t="shared" si="8"/>
        <v>102.357142857143</v>
      </c>
      <c r="G169" s="197">
        <f ca="1" t="shared" si="7"/>
        <v>102</v>
      </c>
      <c r="H169" s="19">
        <f ca="1" t="shared" si="9"/>
        <v>30</v>
      </c>
      <c r="I169" s="19">
        <v>81</v>
      </c>
      <c r="J169" s="17">
        <f ca="1" t="shared" si="10"/>
        <v>30</v>
      </c>
      <c r="M169" s="19">
        <v>30</v>
      </c>
      <c r="XFB169" s="17"/>
    </row>
    <row r="170" spans="4:13 16382:16382">
      <c r="D170" s="176">
        <v>119</v>
      </c>
      <c r="E170" s="176">
        <f ca="1">OFFSET(养成框架!$R$63,MATCH(D170,养成框架!$D$64:$D$96,1),0)</f>
        <v>0.357142857142857</v>
      </c>
      <c r="F170" s="176">
        <f ca="1" t="shared" si="8"/>
        <v>102.714285714286</v>
      </c>
      <c r="G170" s="197">
        <f ca="1" t="shared" si="7"/>
        <v>102</v>
      </c>
      <c r="H170" s="19">
        <f ca="1" t="shared" si="9"/>
        <v>30</v>
      </c>
      <c r="I170" s="19">
        <v>82</v>
      </c>
      <c r="J170" s="17">
        <f ca="1" t="shared" si="10"/>
        <v>30</v>
      </c>
      <c r="M170" s="19">
        <v>30</v>
      </c>
      <c r="XFB170" s="17"/>
    </row>
    <row r="171" spans="4:13 16382:16382">
      <c r="D171" s="176">
        <v>120</v>
      </c>
      <c r="E171" s="176">
        <f ca="1">OFFSET(养成框架!$R$63,MATCH(D171,养成框架!$D$64:$D$96,1),0)</f>
        <v>0.178571428571429</v>
      </c>
      <c r="F171" s="176">
        <f ca="1" t="shared" si="8"/>
        <v>102.892857142857</v>
      </c>
      <c r="G171" s="197">
        <f ca="1" t="shared" si="7"/>
        <v>102</v>
      </c>
      <c r="H171" s="19">
        <f ca="1" t="shared" si="9"/>
        <v>30</v>
      </c>
      <c r="I171" s="19">
        <v>82</v>
      </c>
      <c r="J171" s="17">
        <f ca="1" t="shared" si="10"/>
        <v>30</v>
      </c>
      <c r="M171" s="19">
        <v>30</v>
      </c>
      <c r="XFB171" s="17"/>
    </row>
    <row r="172" spans="4:13 16382:16382">
      <c r="D172" s="176">
        <v>121</v>
      </c>
      <c r="E172" s="176">
        <f ca="1">OFFSET(养成框架!$R$63,MATCH(D172,养成框架!$D$64:$D$96,1),0)</f>
        <v>0.178571428571429</v>
      </c>
      <c r="F172" s="176">
        <f ca="1" t="shared" si="8"/>
        <v>103.071428571429</v>
      </c>
      <c r="G172" s="197">
        <f ca="1" t="shared" si="7"/>
        <v>103</v>
      </c>
      <c r="H172" s="19">
        <f ca="1" t="shared" si="9"/>
        <v>30</v>
      </c>
      <c r="I172" s="19">
        <v>82</v>
      </c>
      <c r="J172" s="17">
        <f ca="1" t="shared" si="10"/>
        <v>30</v>
      </c>
      <c r="M172" s="19">
        <v>30</v>
      </c>
      <c r="XFB172" s="17"/>
    </row>
    <row r="173" spans="4:13 16382:16382">
      <c r="D173" s="176">
        <v>122</v>
      </c>
      <c r="E173" s="176">
        <f ca="1">OFFSET(养成框架!$R$63,MATCH(D173,养成框架!$D$64:$D$96,1),0)</f>
        <v>0.178571428571429</v>
      </c>
      <c r="F173" s="176">
        <f ca="1" t="shared" si="8"/>
        <v>103.25</v>
      </c>
      <c r="G173" s="197">
        <f ca="1" t="shared" si="7"/>
        <v>103</v>
      </c>
      <c r="H173" s="19">
        <f ca="1" t="shared" si="9"/>
        <v>30</v>
      </c>
      <c r="I173" s="19">
        <v>82</v>
      </c>
      <c r="J173" s="17">
        <f ca="1" t="shared" si="10"/>
        <v>30</v>
      </c>
      <c r="M173" s="19">
        <v>30</v>
      </c>
      <c r="XFB173" s="17"/>
    </row>
    <row r="174" spans="4:13 16382:16382">
      <c r="D174" s="176">
        <v>123</v>
      </c>
      <c r="E174" s="176">
        <f ca="1">OFFSET(养成框架!$R$63,MATCH(D174,养成框架!$D$64:$D$96,1),0)</f>
        <v>0.178571428571429</v>
      </c>
      <c r="F174" s="176">
        <f ca="1" t="shared" si="8"/>
        <v>103.428571428572</v>
      </c>
      <c r="G174" s="197">
        <f ca="1" t="shared" si="7"/>
        <v>103</v>
      </c>
      <c r="H174" s="19">
        <f ca="1" t="shared" si="9"/>
        <v>30</v>
      </c>
      <c r="I174" s="19">
        <v>82</v>
      </c>
      <c r="J174" s="17">
        <f ca="1" t="shared" si="10"/>
        <v>30</v>
      </c>
      <c r="M174" s="19">
        <v>30</v>
      </c>
      <c r="XFB174" s="17"/>
    </row>
    <row r="175" spans="4:13 16382:16382">
      <c r="D175" s="176">
        <v>124</v>
      </c>
      <c r="E175" s="176">
        <f ca="1">OFFSET(养成框架!$R$63,MATCH(D175,养成框架!$D$64:$D$96,1),0)</f>
        <v>0.178571428571429</v>
      </c>
      <c r="F175" s="176">
        <f ca="1" t="shared" si="8"/>
        <v>103.607142857143</v>
      </c>
      <c r="G175" s="197">
        <f ca="1" t="shared" si="7"/>
        <v>103</v>
      </c>
      <c r="H175" s="19">
        <f ca="1" t="shared" si="9"/>
        <v>30</v>
      </c>
      <c r="I175" s="19">
        <v>83</v>
      </c>
      <c r="J175" s="17">
        <f ca="1" t="shared" si="10"/>
        <v>30</v>
      </c>
      <c r="M175" s="19">
        <v>30</v>
      </c>
      <c r="XFB175" s="17"/>
    </row>
    <row r="176" spans="4:13 16382:16382">
      <c r="D176" s="176">
        <v>125</v>
      </c>
      <c r="E176" s="176">
        <f ca="1">OFFSET(养成框架!$R$63,MATCH(D176,养成框架!$D$64:$D$96,1),0)</f>
        <v>0.178571428571429</v>
      </c>
      <c r="F176" s="176">
        <f ca="1" t="shared" si="8"/>
        <v>103.785714285714</v>
      </c>
      <c r="G176" s="197">
        <f ca="1" t="shared" si="7"/>
        <v>103</v>
      </c>
      <c r="H176" s="19">
        <f ca="1" t="shared" si="9"/>
        <v>30</v>
      </c>
      <c r="I176" s="19">
        <v>83</v>
      </c>
      <c r="J176" s="17">
        <f ca="1" t="shared" si="10"/>
        <v>30</v>
      </c>
      <c r="M176" s="19">
        <v>30</v>
      </c>
      <c r="XFB176" s="17"/>
    </row>
    <row r="177" spans="4:13 16382:16382">
      <c r="D177" s="176">
        <v>126</v>
      </c>
      <c r="E177" s="176">
        <f ca="1">OFFSET(养成框架!$R$63,MATCH(D177,养成框架!$D$64:$D$96,1),0)</f>
        <v>0.178571428571429</v>
      </c>
      <c r="F177" s="176">
        <f ca="1" t="shared" si="8"/>
        <v>103.964285714286</v>
      </c>
      <c r="G177" s="197">
        <f ca="1" t="shared" si="7"/>
        <v>103</v>
      </c>
      <c r="H177" s="19">
        <f ca="1" t="shared" si="9"/>
        <v>30</v>
      </c>
      <c r="I177" s="19">
        <v>83</v>
      </c>
      <c r="J177" s="17">
        <f ca="1" t="shared" si="10"/>
        <v>30</v>
      </c>
      <c r="M177" s="19">
        <v>30</v>
      </c>
      <c r="XFB177" s="17"/>
    </row>
    <row r="178" spans="4:13 16382:16382">
      <c r="D178" s="176">
        <v>127</v>
      </c>
      <c r="E178" s="176">
        <f ca="1">OFFSET(养成框架!$R$63,MATCH(D178,养成框架!$D$64:$D$96,1),0)</f>
        <v>0.178571428571429</v>
      </c>
      <c r="F178" s="176">
        <f ca="1" t="shared" si="8"/>
        <v>104.142857142857</v>
      </c>
      <c r="G178" s="197">
        <f ca="1" t="shared" si="7"/>
        <v>104</v>
      </c>
      <c r="H178" s="19">
        <f ca="1" t="shared" si="9"/>
        <v>30</v>
      </c>
      <c r="I178" s="19">
        <v>83</v>
      </c>
      <c r="J178" s="17">
        <f ca="1" t="shared" si="10"/>
        <v>30</v>
      </c>
      <c r="M178" s="19">
        <v>30</v>
      </c>
      <c r="XFB178" s="17"/>
    </row>
    <row r="179" spans="4:13 16382:16382">
      <c r="D179" s="176">
        <v>128</v>
      </c>
      <c r="E179" s="176">
        <f ca="1">OFFSET(养成框架!$R$63,MATCH(D179,养成框架!$D$64:$D$96,1),0)</f>
        <v>0.178571428571429</v>
      </c>
      <c r="F179" s="176">
        <f ca="1" t="shared" si="8"/>
        <v>104.321428571429</v>
      </c>
      <c r="G179" s="197">
        <f ca="1" t="shared" si="7"/>
        <v>104</v>
      </c>
      <c r="H179" s="19">
        <f ca="1" t="shared" si="9"/>
        <v>30</v>
      </c>
      <c r="I179" s="19">
        <v>83</v>
      </c>
      <c r="J179" s="17">
        <f ca="1" t="shared" si="10"/>
        <v>30</v>
      </c>
      <c r="M179" s="19">
        <v>30</v>
      </c>
      <c r="XFB179" s="17"/>
    </row>
    <row r="180" spans="4:13 16382:16382">
      <c r="D180" s="176">
        <v>129</v>
      </c>
      <c r="E180" s="176">
        <f ca="1">OFFSET(养成框架!$R$63,MATCH(D180,养成框架!$D$64:$D$96,1),0)</f>
        <v>0.178571428571429</v>
      </c>
      <c r="F180" s="176">
        <f ca="1" t="shared" si="8"/>
        <v>104.5</v>
      </c>
      <c r="G180" s="197">
        <f ca="1" t="shared" ref="G180:G243" si="11">INT(F180)</f>
        <v>104</v>
      </c>
      <c r="H180" s="19">
        <f ca="1" t="shared" si="9"/>
        <v>30</v>
      </c>
      <c r="I180" s="19">
        <v>84</v>
      </c>
      <c r="J180" s="17">
        <f ca="1" t="shared" si="10"/>
        <v>30</v>
      </c>
      <c r="M180" s="19">
        <v>30</v>
      </c>
      <c r="XFB180" s="17"/>
    </row>
    <row r="181" spans="4:13 16382:16382">
      <c r="D181" s="176">
        <v>130</v>
      </c>
      <c r="E181" s="176">
        <f ca="1">OFFSET(养成框架!$R$63,MATCH(D181,养成框架!$D$64:$D$96,1),0)</f>
        <v>0.178571428571429</v>
      </c>
      <c r="F181" s="176">
        <f ca="1" t="shared" ref="F181:F244" si="12">E181+F180</f>
        <v>104.678571428572</v>
      </c>
      <c r="G181" s="197">
        <f ca="1" t="shared" si="11"/>
        <v>104</v>
      </c>
      <c r="H181" s="19">
        <f ca="1" t="shared" ref="H181:H244" si="13">OFFSET($L$51,MATCH(F181,$K$52:$K$81,1),0)</f>
        <v>30</v>
      </c>
      <c r="I181" s="19">
        <v>84</v>
      </c>
      <c r="J181" s="17">
        <f ca="1" t="shared" ref="J181:J244" si="14">OFFSET($L$51,MATCH(I181,$K$52:$K$81,1),0)</f>
        <v>30</v>
      </c>
      <c r="M181" s="19">
        <v>30</v>
      </c>
      <c r="XFB181" s="17"/>
    </row>
    <row r="182" spans="4:13 16382:16382">
      <c r="D182" s="176">
        <v>131</v>
      </c>
      <c r="E182" s="176">
        <f ca="1">OFFSET(养成框架!$R$63,MATCH(D182,养成框架!$D$64:$D$96,1),0)</f>
        <v>0.178571428571429</v>
      </c>
      <c r="F182" s="176">
        <f ca="1" t="shared" si="12"/>
        <v>104.857142857143</v>
      </c>
      <c r="G182" s="197">
        <f ca="1" t="shared" si="11"/>
        <v>104</v>
      </c>
      <c r="H182" s="19">
        <f ca="1" t="shared" si="13"/>
        <v>30</v>
      </c>
      <c r="I182" s="19">
        <v>84</v>
      </c>
      <c r="J182" s="17">
        <f ca="1" t="shared" si="14"/>
        <v>30</v>
      </c>
      <c r="M182" s="19">
        <v>30</v>
      </c>
      <c r="XFB182" s="17"/>
    </row>
    <row r="183" spans="4:13 16382:16382">
      <c r="D183" s="176">
        <v>132</v>
      </c>
      <c r="E183" s="176">
        <f ca="1">OFFSET(养成框架!$R$63,MATCH(D183,养成框架!$D$64:$D$96,1),0)</f>
        <v>0.178571428571429</v>
      </c>
      <c r="F183" s="176">
        <f ca="1" t="shared" si="12"/>
        <v>105.035714285714</v>
      </c>
      <c r="G183" s="197">
        <f ca="1" t="shared" si="11"/>
        <v>105</v>
      </c>
      <c r="H183" s="19">
        <f ca="1" t="shared" si="13"/>
        <v>30</v>
      </c>
      <c r="I183" s="19">
        <v>84</v>
      </c>
      <c r="J183" s="17">
        <f ca="1" t="shared" si="14"/>
        <v>30</v>
      </c>
      <c r="M183" s="19">
        <v>30</v>
      </c>
      <c r="XFB183" s="17"/>
    </row>
    <row r="184" spans="4:13 16382:16382">
      <c r="D184" s="176">
        <v>133</v>
      </c>
      <c r="E184" s="176">
        <f ca="1">OFFSET(养成框架!$R$63,MATCH(D184,养成框架!$D$64:$D$96,1),0)</f>
        <v>0.178571428571429</v>
      </c>
      <c r="F184" s="176">
        <f ca="1" t="shared" si="12"/>
        <v>105.214285714286</v>
      </c>
      <c r="G184" s="197">
        <f ca="1" t="shared" si="11"/>
        <v>105</v>
      </c>
      <c r="H184" s="19">
        <f ca="1" t="shared" si="13"/>
        <v>30</v>
      </c>
      <c r="I184" s="19">
        <v>84</v>
      </c>
      <c r="J184" s="17">
        <f ca="1" t="shared" si="14"/>
        <v>30</v>
      </c>
      <c r="M184" s="19">
        <v>30</v>
      </c>
      <c r="XFB184" s="17"/>
    </row>
    <row r="185" spans="4:13 16382:16382">
      <c r="D185" s="176">
        <v>134</v>
      </c>
      <c r="E185" s="176">
        <f ca="1">OFFSET(养成框架!$R$63,MATCH(D185,养成框架!$D$64:$D$96,1),0)</f>
        <v>0.178571428571429</v>
      </c>
      <c r="F185" s="176">
        <f ca="1" t="shared" si="12"/>
        <v>105.392857142857</v>
      </c>
      <c r="G185" s="197">
        <f ca="1" t="shared" si="11"/>
        <v>105</v>
      </c>
      <c r="H185" s="19">
        <f ca="1" t="shared" si="13"/>
        <v>30</v>
      </c>
      <c r="I185" s="19">
        <v>84</v>
      </c>
      <c r="J185" s="17">
        <f ca="1" t="shared" si="14"/>
        <v>30</v>
      </c>
      <c r="M185" s="19">
        <v>30</v>
      </c>
      <c r="XFB185" s="17"/>
    </row>
    <row r="186" spans="4:13 16382:16382">
      <c r="D186" s="176">
        <v>135</v>
      </c>
      <c r="E186" s="176">
        <f ca="1">OFFSET(养成框架!$R$63,MATCH(D186,养成框架!$D$64:$D$96,1),0)</f>
        <v>0.178571428571429</v>
      </c>
      <c r="F186" s="176">
        <f ca="1" t="shared" si="12"/>
        <v>105.571428571429</v>
      </c>
      <c r="G186" s="197">
        <f ca="1" t="shared" si="11"/>
        <v>105</v>
      </c>
      <c r="H186" s="19">
        <f ca="1" t="shared" si="13"/>
        <v>30</v>
      </c>
      <c r="I186" s="19">
        <v>85</v>
      </c>
      <c r="J186" s="17">
        <f ca="1" t="shared" si="14"/>
        <v>30</v>
      </c>
      <c r="M186" s="19">
        <v>30</v>
      </c>
      <c r="XFB186" s="17"/>
    </row>
    <row r="187" spans="4:13 16382:16382">
      <c r="D187" s="176">
        <v>136</v>
      </c>
      <c r="E187" s="176">
        <f ca="1">OFFSET(养成框架!$R$63,MATCH(D187,养成框架!$D$64:$D$96,1),0)</f>
        <v>0.178571428571429</v>
      </c>
      <c r="F187" s="176">
        <f ca="1" t="shared" si="12"/>
        <v>105.75</v>
      </c>
      <c r="G187" s="197">
        <f ca="1" t="shared" si="11"/>
        <v>105</v>
      </c>
      <c r="H187" s="19">
        <f ca="1" t="shared" si="13"/>
        <v>30</v>
      </c>
      <c r="I187" s="19">
        <v>85</v>
      </c>
      <c r="J187" s="17">
        <f ca="1" t="shared" si="14"/>
        <v>30</v>
      </c>
      <c r="M187" s="19">
        <v>30</v>
      </c>
      <c r="XFB187" s="17"/>
    </row>
    <row r="188" spans="4:13 16382:16382">
      <c r="D188" s="176">
        <v>137</v>
      </c>
      <c r="E188" s="176">
        <f ca="1">OFFSET(养成框架!$R$63,MATCH(D188,养成框架!$D$64:$D$96,1),0)</f>
        <v>0.178571428571429</v>
      </c>
      <c r="F188" s="176">
        <f ca="1" t="shared" si="12"/>
        <v>105.928571428572</v>
      </c>
      <c r="G188" s="197">
        <f ca="1" t="shared" si="11"/>
        <v>105</v>
      </c>
      <c r="H188" s="19">
        <f ca="1" t="shared" si="13"/>
        <v>30</v>
      </c>
      <c r="I188" s="19">
        <v>85</v>
      </c>
      <c r="J188" s="17">
        <f ca="1" t="shared" si="14"/>
        <v>30</v>
      </c>
      <c r="M188" s="19">
        <v>30</v>
      </c>
      <c r="XFB188" s="17"/>
    </row>
    <row r="189" spans="4:13 16382:16382">
      <c r="D189" s="176">
        <v>138</v>
      </c>
      <c r="E189" s="176">
        <f ca="1">OFFSET(养成框架!$R$63,MATCH(D189,养成框架!$D$64:$D$96,1),0)</f>
        <v>0.178571428571429</v>
      </c>
      <c r="F189" s="176">
        <f ca="1" t="shared" si="12"/>
        <v>106.107142857143</v>
      </c>
      <c r="G189" s="197">
        <f ca="1" t="shared" si="11"/>
        <v>106</v>
      </c>
      <c r="H189" s="19">
        <f ca="1" t="shared" si="13"/>
        <v>30</v>
      </c>
      <c r="I189" s="19">
        <v>85</v>
      </c>
      <c r="J189" s="17">
        <f ca="1" t="shared" si="14"/>
        <v>30</v>
      </c>
      <c r="M189" s="19">
        <v>30</v>
      </c>
      <c r="XFB189" s="17"/>
    </row>
    <row r="190" spans="4:13 16382:16382">
      <c r="D190" s="176">
        <v>139</v>
      </c>
      <c r="E190" s="176">
        <f ca="1">OFFSET(养成框架!$R$63,MATCH(D190,养成框架!$D$64:$D$96,1),0)</f>
        <v>0.178571428571429</v>
      </c>
      <c r="F190" s="176">
        <f ca="1" t="shared" si="12"/>
        <v>106.285714285714</v>
      </c>
      <c r="G190" s="197">
        <f ca="1" t="shared" si="11"/>
        <v>106</v>
      </c>
      <c r="H190" s="19">
        <f ca="1" t="shared" si="13"/>
        <v>30</v>
      </c>
      <c r="I190" s="19">
        <v>85</v>
      </c>
      <c r="J190" s="17">
        <f ca="1" t="shared" si="14"/>
        <v>30</v>
      </c>
      <c r="M190" s="19">
        <v>30</v>
      </c>
      <c r="XFB190" s="17"/>
    </row>
    <row r="191" spans="4:13 16382:16382">
      <c r="D191" s="176">
        <v>140</v>
      </c>
      <c r="E191" s="176">
        <f ca="1">OFFSET(养成框架!$R$63,MATCH(D191,养成框架!$D$64:$D$96,1),0)</f>
        <v>0.178571428571429</v>
      </c>
      <c r="F191" s="176">
        <f ca="1" t="shared" si="12"/>
        <v>106.464285714286</v>
      </c>
      <c r="G191" s="197">
        <f ca="1" t="shared" si="11"/>
        <v>106</v>
      </c>
      <c r="H191" s="19">
        <f ca="1" t="shared" si="13"/>
        <v>30</v>
      </c>
      <c r="I191" s="19">
        <v>86</v>
      </c>
      <c r="J191" s="17">
        <f ca="1" t="shared" si="14"/>
        <v>30</v>
      </c>
      <c r="M191" s="19">
        <v>30</v>
      </c>
      <c r="XFB191" s="17"/>
    </row>
    <row r="192" spans="4:13 16382:16382">
      <c r="D192" s="176">
        <v>141</v>
      </c>
      <c r="E192" s="176">
        <f ca="1">OFFSET(养成框架!$R$63,MATCH(D192,养成框架!$D$64:$D$96,1),0)</f>
        <v>0.178571428571429</v>
      </c>
      <c r="F192" s="176">
        <f ca="1" t="shared" si="12"/>
        <v>106.642857142857</v>
      </c>
      <c r="G192" s="197">
        <f ca="1" t="shared" si="11"/>
        <v>106</v>
      </c>
      <c r="H192" s="19">
        <f ca="1" t="shared" si="13"/>
        <v>30</v>
      </c>
      <c r="I192" s="19">
        <v>86</v>
      </c>
      <c r="J192" s="17">
        <f ca="1" t="shared" si="14"/>
        <v>30</v>
      </c>
      <c r="M192" s="19">
        <v>30</v>
      </c>
      <c r="XFB192" s="17"/>
    </row>
    <row r="193" spans="4:13 16382:16382">
      <c r="D193" s="176">
        <v>142</v>
      </c>
      <c r="E193" s="176">
        <f ca="1">OFFSET(养成框架!$R$63,MATCH(D193,养成框架!$D$64:$D$96,1),0)</f>
        <v>0.178571428571429</v>
      </c>
      <c r="F193" s="176">
        <f ca="1" t="shared" si="12"/>
        <v>106.821428571429</v>
      </c>
      <c r="G193" s="197">
        <f ca="1" t="shared" si="11"/>
        <v>106</v>
      </c>
      <c r="H193" s="19">
        <f ca="1" t="shared" si="13"/>
        <v>30</v>
      </c>
      <c r="I193" s="19">
        <v>86</v>
      </c>
      <c r="J193" s="17">
        <f ca="1" t="shared" si="14"/>
        <v>30</v>
      </c>
      <c r="M193" s="19">
        <v>30</v>
      </c>
      <c r="XFB193" s="17"/>
    </row>
    <row r="194" spans="4:13 16382:16382">
      <c r="D194" s="176">
        <v>143</v>
      </c>
      <c r="E194" s="176">
        <f ca="1">OFFSET(养成框架!$R$63,MATCH(D194,养成框架!$D$64:$D$96,1),0)</f>
        <v>0.178571428571429</v>
      </c>
      <c r="F194" s="176">
        <f ca="1" t="shared" si="12"/>
        <v>107</v>
      </c>
      <c r="G194" s="197">
        <f ca="1" t="shared" si="11"/>
        <v>107</v>
      </c>
      <c r="H194" s="19">
        <f ca="1" t="shared" si="13"/>
        <v>30</v>
      </c>
      <c r="I194" s="19">
        <v>86</v>
      </c>
      <c r="J194" s="17">
        <f ca="1" t="shared" si="14"/>
        <v>30</v>
      </c>
      <c r="M194" s="19">
        <v>30</v>
      </c>
      <c r="XFB194" s="17"/>
    </row>
    <row r="195" spans="4:13 16382:16382">
      <c r="D195" s="176">
        <v>144</v>
      </c>
      <c r="E195" s="176">
        <f ca="1">OFFSET(养成框架!$R$63,MATCH(D195,养成框架!$D$64:$D$96,1),0)</f>
        <v>0.178571428571429</v>
      </c>
      <c r="F195" s="176">
        <f ca="1" t="shared" si="12"/>
        <v>107.178571428572</v>
      </c>
      <c r="G195" s="197">
        <f ca="1" t="shared" si="11"/>
        <v>107</v>
      </c>
      <c r="H195" s="19">
        <f ca="1" t="shared" si="13"/>
        <v>30</v>
      </c>
      <c r="I195" s="19">
        <v>86</v>
      </c>
      <c r="J195" s="17">
        <f ca="1" t="shared" si="14"/>
        <v>30</v>
      </c>
      <c r="M195" s="19">
        <v>30</v>
      </c>
      <c r="XFB195" s="17"/>
    </row>
    <row r="196" spans="4:13 16382:16382">
      <c r="D196" s="176">
        <v>145</v>
      </c>
      <c r="E196" s="176">
        <f ca="1">OFFSET(养成框架!$R$63,MATCH(D196,养成框架!$D$64:$D$96,1),0)</f>
        <v>0.178571428571429</v>
      </c>
      <c r="F196" s="176">
        <f ca="1" t="shared" si="12"/>
        <v>107.357142857143</v>
      </c>
      <c r="G196" s="197">
        <f ca="1" t="shared" si="11"/>
        <v>107</v>
      </c>
      <c r="H196" s="19">
        <f ca="1" t="shared" si="13"/>
        <v>30</v>
      </c>
      <c r="I196" s="19">
        <v>87</v>
      </c>
      <c r="J196" s="17">
        <f ca="1" t="shared" si="14"/>
        <v>30</v>
      </c>
      <c r="M196" s="19">
        <v>30</v>
      </c>
      <c r="XFB196" s="17"/>
    </row>
    <row r="197" spans="4:13 16382:16382">
      <c r="D197" s="176">
        <v>146</v>
      </c>
      <c r="E197" s="176">
        <f ca="1">OFFSET(养成框架!$R$63,MATCH(D197,养成框架!$D$64:$D$96,1),0)</f>
        <v>0.178571428571429</v>
      </c>
      <c r="F197" s="176">
        <f ca="1" t="shared" si="12"/>
        <v>107.535714285714</v>
      </c>
      <c r="G197" s="197">
        <f ca="1" t="shared" si="11"/>
        <v>107</v>
      </c>
      <c r="H197" s="19">
        <f ca="1" t="shared" si="13"/>
        <v>30</v>
      </c>
      <c r="I197" s="19">
        <v>87</v>
      </c>
      <c r="J197" s="17">
        <f ca="1" t="shared" si="14"/>
        <v>30</v>
      </c>
      <c r="M197" s="19">
        <v>30</v>
      </c>
      <c r="XFB197" s="17"/>
    </row>
    <row r="198" spans="4:13 16382:16382">
      <c r="D198" s="176">
        <v>147</v>
      </c>
      <c r="E198" s="176">
        <f ca="1">OFFSET(养成框架!$R$63,MATCH(D198,养成框架!$D$64:$D$96,1),0)</f>
        <v>0.178571428571429</v>
      </c>
      <c r="F198" s="176">
        <f ca="1" t="shared" si="12"/>
        <v>107.714285714286</v>
      </c>
      <c r="G198" s="197">
        <f ca="1" t="shared" si="11"/>
        <v>107</v>
      </c>
      <c r="H198" s="19">
        <f ca="1" t="shared" si="13"/>
        <v>30</v>
      </c>
      <c r="I198" s="19">
        <v>87</v>
      </c>
      <c r="J198" s="17">
        <f ca="1" t="shared" si="14"/>
        <v>30</v>
      </c>
      <c r="M198" s="19">
        <v>30</v>
      </c>
      <c r="XFB198" s="17"/>
    </row>
    <row r="199" spans="4:13 16382:16382">
      <c r="D199" s="176">
        <v>148</v>
      </c>
      <c r="E199" s="176">
        <f ca="1">OFFSET(养成框架!$R$63,MATCH(D199,养成框架!$D$64:$D$96,1),0)</f>
        <v>0.178571428571429</v>
      </c>
      <c r="F199" s="176">
        <f ca="1" t="shared" si="12"/>
        <v>107.892857142857</v>
      </c>
      <c r="G199" s="197">
        <f ca="1" t="shared" si="11"/>
        <v>107</v>
      </c>
      <c r="H199" s="19">
        <f ca="1" t="shared" si="13"/>
        <v>30</v>
      </c>
      <c r="I199" s="19">
        <v>87</v>
      </c>
      <c r="J199" s="17">
        <f ca="1" t="shared" si="14"/>
        <v>30</v>
      </c>
      <c r="M199" s="19">
        <v>30</v>
      </c>
      <c r="XFB199" s="17"/>
    </row>
    <row r="200" spans="4:13 16382:16382">
      <c r="D200" s="176">
        <v>149</v>
      </c>
      <c r="E200" s="176">
        <f ca="1">OFFSET(养成框架!$R$63,MATCH(D200,养成框架!$D$64:$D$96,1),0)</f>
        <v>0.178571428571429</v>
      </c>
      <c r="F200" s="176">
        <f ca="1" t="shared" si="12"/>
        <v>108.071428571429</v>
      </c>
      <c r="G200" s="197">
        <f ca="1" t="shared" si="11"/>
        <v>108</v>
      </c>
      <c r="H200" s="19">
        <f ca="1" t="shared" si="13"/>
        <v>30</v>
      </c>
      <c r="I200" s="19">
        <v>87</v>
      </c>
      <c r="J200" s="17">
        <f ca="1" t="shared" si="14"/>
        <v>30</v>
      </c>
      <c r="M200" s="19">
        <v>30</v>
      </c>
      <c r="XFB200" s="17"/>
    </row>
    <row r="201" spans="4:13 16382:16382">
      <c r="D201" s="176">
        <v>150</v>
      </c>
      <c r="E201" s="176">
        <f ca="1">OFFSET(养成框架!$R$63,MATCH(D201,养成框架!$D$64:$D$96,1),0)</f>
        <v>0.178571428571429</v>
      </c>
      <c r="F201" s="176">
        <f ca="1" t="shared" si="12"/>
        <v>108.25</v>
      </c>
      <c r="G201" s="197">
        <f ca="1" t="shared" si="11"/>
        <v>108</v>
      </c>
      <c r="H201" s="19">
        <f ca="1" t="shared" si="13"/>
        <v>30</v>
      </c>
      <c r="I201" s="19">
        <v>88</v>
      </c>
      <c r="J201" s="17">
        <f ca="1" t="shared" si="14"/>
        <v>30</v>
      </c>
      <c r="M201" s="19">
        <v>30</v>
      </c>
      <c r="XFB201" s="17"/>
    </row>
    <row r="202" spans="4:13 16382:16382">
      <c r="D202" s="176">
        <v>151</v>
      </c>
      <c r="E202" s="176">
        <f ca="1">OFFSET(养成框架!$R$63,MATCH(D202,养成框架!$D$64:$D$96,1),0)</f>
        <v>0.178571428571429</v>
      </c>
      <c r="F202" s="176">
        <f ca="1" t="shared" si="12"/>
        <v>108.428571428572</v>
      </c>
      <c r="G202" s="197">
        <f ca="1" t="shared" si="11"/>
        <v>108</v>
      </c>
      <c r="H202" s="19">
        <f ca="1" t="shared" si="13"/>
        <v>30</v>
      </c>
      <c r="I202" s="19">
        <v>88</v>
      </c>
      <c r="J202" s="17">
        <f ca="1" t="shared" si="14"/>
        <v>30</v>
      </c>
      <c r="M202" s="19">
        <v>30</v>
      </c>
      <c r="XFB202" s="17"/>
    </row>
    <row r="203" spans="4:13 16382:16382">
      <c r="D203" s="176">
        <v>152</v>
      </c>
      <c r="E203" s="176">
        <f ca="1">OFFSET(养成框架!$R$63,MATCH(D203,养成框架!$D$64:$D$96,1),0)</f>
        <v>0.178571428571429</v>
      </c>
      <c r="F203" s="176">
        <f ca="1" t="shared" si="12"/>
        <v>108.607142857143</v>
      </c>
      <c r="G203" s="197">
        <f ca="1" t="shared" si="11"/>
        <v>108</v>
      </c>
      <c r="H203" s="19">
        <f ca="1" t="shared" si="13"/>
        <v>30</v>
      </c>
      <c r="I203" s="19">
        <v>88</v>
      </c>
      <c r="J203" s="17">
        <f ca="1" t="shared" si="14"/>
        <v>30</v>
      </c>
      <c r="M203" s="19">
        <v>30</v>
      </c>
      <c r="XFB203" s="17"/>
    </row>
    <row r="204" spans="4:13 16382:16382">
      <c r="D204" s="176">
        <v>153</v>
      </c>
      <c r="E204" s="176">
        <f ca="1">OFFSET(养成框架!$R$63,MATCH(D204,养成框架!$D$64:$D$96,1),0)</f>
        <v>0.178571428571429</v>
      </c>
      <c r="F204" s="176">
        <f ca="1" t="shared" si="12"/>
        <v>108.785714285714</v>
      </c>
      <c r="G204" s="197">
        <f ca="1" t="shared" si="11"/>
        <v>108</v>
      </c>
      <c r="H204" s="19">
        <f ca="1" t="shared" si="13"/>
        <v>30</v>
      </c>
      <c r="I204" s="19">
        <v>88</v>
      </c>
      <c r="J204" s="17">
        <f ca="1" t="shared" si="14"/>
        <v>30</v>
      </c>
      <c r="M204" s="19">
        <v>30</v>
      </c>
      <c r="XFB204" s="17"/>
    </row>
    <row r="205" spans="4:13 16382:16382">
      <c r="D205" s="176">
        <v>154</v>
      </c>
      <c r="E205" s="176">
        <f ca="1">OFFSET(养成框架!$R$63,MATCH(D205,养成框架!$D$64:$D$96,1),0)</f>
        <v>0.178571428571429</v>
      </c>
      <c r="F205" s="176">
        <f ca="1" t="shared" si="12"/>
        <v>108.964285714286</v>
      </c>
      <c r="G205" s="197">
        <f ca="1" t="shared" si="11"/>
        <v>108</v>
      </c>
      <c r="H205" s="19">
        <f ca="1" t="shared" si="13"/>
        <v>30</v>
      </c>
      <c r="I205" s="19">
        <v>88</v>
      </c>
      <c r="J205" s="17">
        <f ca="1" t="shared" si="14"/>
        <v>30</v>
      </c>
      <c r="M205" s="19">
        <v>30</v>
      </c>
      <c r="XFB205" s="17"/>
    </row>
    <row r="206" spans="4:13 16382:16382">
      <c r="D206" s="176">
        <v>155</v>
      </c>
      <c r="E206" s="176">
        <f ca="1">OFFSET(养成框架!$R$63,MATCH(D206,养成框架!$D$64:$D$96,1),0)</f>
        <v>0.178571428571429</v>
      </c>
      <c r="F206" s="176">
        <f ca="1" t="shared" si="12"/>
        <v>109.142857142857</v>
      </c>
      <c r="G206" s="197">
        <f ca="1" t="shared" si="11"/>
        <v>109</v>
      </c>
      <c r="H206" s="19">
        <f ca="1" t="shared" si="13"/>
        <v>30</v>
      </c>
      <c r="I206" s="19">
        <v>88</v>
      </c>
      <c r="J206" s="17">
        <f ca="1" t="shared" si="14"/>
        <v>30</v>
      </c>
      <c r="M206" s="19">
        <v>30</v>
      </c>
      <c r="XFB206" s="17"/>
    </row>
    <row r="207" spans="4:13 16382:16382">
      <c r="D207" s="176">
        <v>156</v>
      </c>
      <c r="E207" s="176">
        <f ca="1">OFFSET(养成框架!$R$63,MATCH(D207,养成框架!$D$64:$D$96,1),0)</f>
        <v>0.178571428571429</v>
      </c>
      <c r="F207" s="176">
        <f ca="1" t="shared" si="12"/>
        <v>109.321428571429</v>
      </c>
      <c r="G207" s="197">
        <f ca="1" t="shared" si="11"/>
        <v>109</v>
      </c>
      <c r="H207" s="19">
        <f ca="1" t="shared" si="13"/>
        <v>30</v>
      </c>
      <c r="I207" s="19">
        <v>89</v>
      </c>
      <c r="J207" s="17">
        <f ca="1" t="shared" si="14"/>
        <v>30</v>
      </c>
      <c r="M207" s="19">
        <v>30</v>
      </c>
      <c r="XFB207" s="17"/>
    </row>
    <row r="208" spans="4:13 16382:16382">
      <c r="D208" s="176">
        <v>157</v>
      </c>
      <c r="E208" s="176">
        <f ca="1">OFFSET(养成框架!$R$63,MATCH(D208,养成框架!$D$64:$D$96,1),0)</f>
        <v>0.178571428571429</v>
      </c>
      <c r="F208" s="176">
        <f ca="1" t="shared" si="12"/>
        <v>109.5</v>
      </c>
      <c r="G208" s="197">
        <f ca="1" t="shared" si="11"/>
        <v>109</v>
      </c>
      <c r="H208" s="19">
        <f ca="1" t="shared" si="13"/>
        <v>30</v>
      </c>
      <c r="I208" s="19">
        <v>89</v>
      </c>
      <c r="J208" s="17">
        <f ca="1" t="shared" si="14"/>
        <v>30</v>
      </c>
      <c r="M208" s="19">
        <v>30</v>
      </c>
      <c r="XFB208" s="17"/>
    </row>
    <row r="209" spans="4:13 16382:16382">
      <c r="D209" s="176">
        <v>158</v>
      </c>
      <c r="E209" s="176">
        <f ca="1">OFFSET(养成框架!$R$63,MATCH(D209,养成框架!$D$64:$D$96,1),0)</f>
        <v>0.178571428571429</v>
      </c>
      <c r="F209" s="176">
        <f ca="1" t="shared" si="12"/>
        <v>109.678571428572</v>
      </c>
      <c r="G209" s="197">
        <f ca="1" t="shared" si="11"/>
        <v>109</v>
      </c>
      <c r="H209" s="19">
        <f ca="1" t="shared" si="13"/>
        <v>30</v>
      </c>
      <c r="I209" s="19">
        <v>89</v>
      </c>
      <c r="J209" s="17">
        <f ca="1" t="shared" si="14"/>
        <v>30</v>
      </c>
      <c r="M209" s="19">
        <v>30</v>
      </c>
      <c r="XFB209" s="17"/>
    </row>
    <row r="210" spans="4:13 16382:16382">
      <c r="D210" s="176">
        <v>159</v>
      </c>
      <c r="E210" s="176">
        <f ca="1">OFFSET(养成框架!$R$63,MATCH(D210,养成框架!$D$64:$D$96,1),0)</f>
        <v>0.178571428571429</v>
      </c>
      <c r="F210" s="176">
        <f ca="1" t="shared" si="12"/>
        <v>109.857142857143</v>
      </c>
      <c r="G210" s="197">
        <f ca="1" t="shared" si="11"/>
        <v>109</v>
      </c>
      <c r="H210" s="19">
        <f ca="1" t="shared" si="13"/>
        <v>30</v>
      </c>
      <c r="I210" s="19">
        <v>89</v>
      </c>
      <c r="J210" s="17">
        <f ca="1" t="shared" si="14"/>
        <v>30</v>
      </c>
      <c r="M210" s="19">
        <v>30</v>
      </c>
      <c r="XFB210" s="17"/>
    </row>
    <row r="211" spans="4:13 16382:16382">
      <c r="D211" s="176">
        <v>160</v>
      </c>
      <c r="E211" s="176">
        <f ca="1">OFFSET(养成框架!$R$63,MATCH(D211,养成框架!$D$64:$D$96,1),0)</f>
        <v>0.178571428571429</v>
      </c>
      <c r="F211" s="176">
        <f ca="1" t="shared" si="12"/>
        <v>110.035714285714</v>
      </c>
      <c r="G211" s="197">
        <f ca="1" t="shared" si="11"/>
        <v>110</v>
      </c>
      <c r="H211" s="19">
        <f ca="1" t="shared" si="13"/>
        <v>30</v>
      </c>
      <c r="I211" s="19">
        <v>89</v>
      </c>
      <c r="J211" s="17">
        <f ca="1" t="shared" si="14"/>
        <v>30</v>
      </c>
      <c r="M211" s="19">
        <v>30</v>
      </c>
      <c r="XFB211" s="17"/>
    </row>
    <row r="212" spans="4:13 16382:16382">
      <c r="D212" s="176">
        <v>161</v>
      </c>
      <c r="E212" s="176">
        <f ca="1">OFFSET(养成框架!$R$63,MATCH(D212,养成框架!$D$64:$D$96,1),0)</f>
        <v>0.178571428571429</v>
      </c>
      <c r="F212" s="176">
        <f ca="1" t="shared" si="12"/>
        <v>110.214285714286</v>
      </c>
      <c r="G212" s="197">
        <f ca="1" t="shared" si="11"/>
        <v>110</v>
      </c>
      <c r="H212" s="19">
        <f ca="1" t="shared" si="13"/>
        <v>30</v>
      </c>
      <c r="I212" s="19">
        <v>89</v>
      </c>
      <c r="J212" s="17">
        <f ca="1" t="shared" si="14"/>
        <v>30</v>
      </c>
      <c r="M212" s="19">
        <v>30</v>
      </c>
      <c r="XFB212" s="17"/>
    </row>
    <row r="213" spans="4:13 16382:16382">
      <c r="D213" s="176">
        <v>162</v>
      </c>
      <c r="E213" s="176">
        <f ca="1">OFFSET(养成框架!$R$63,MATCH(D213,养成框架!$D$64:$D$96,1),0)</f>
        <v>0.178571428571429</v>
      </c>
      <c r="F213" s="176">
        <f ca="1" t="shared" si="12"/>
        <v>110.392857142857</v>
      </c>
      <c r="G213" s="197">
        <f ca="1" t="shared" si="11"/>
        <v>110</v>
      </c>
      <c r="H213" s="19">
        <f ca="1" t="shared" si="13"/>
        <v>30</v>
      </c>
      <c r="I213" s="19">
        <v>90</v>
      </c>
      <c r="J213" s="17">
        <f ca="1" t="shared" si="14"/>
        <v>30</v>
      </c>
      <c r="M213" s="19">
        <v>30</v>
      </c>
      <c r="XFB213" s="17"/>
    </row>
    <row r="214" spans="4:13 16382:16382">
      <c r="D214" s="176">
        <v>163</v>
      </c>
      <c r="E214" s="176">
        <f ca="1">OFFSET(养成框架!$R$63,MATCH(D214,养成框架!$D$64:$D$96,1),0)</f>
        <v>0.178571428571429</v>
      </c>
      <c r="F214" s="176">
        <f ca="1" t="shared" si="12"/>
        <v>110.571428571429</v>
      </c>
      <c r="G214" s="197">
        <f ca="1" t="shared" si="11"/>
        <v>110</v>
      </c>
      <c r="H214" s="19">
        <f ca="1" t="shared" si="13"/>
        <v>30</v>
      </c>
      <c r="I214" s="19">
        <v>90</v>
      </c>
      <c r="J214" s="17">
        <f ca="1" t="shared" si="14"/>
        <v>30</v>
      </c>
      <c r="M214" s="19">
        <v>30</v>
      </c>
      <c r="XFB214" s="17"/>
    </row>
    <row r="215" spans="4:13 16382:16382">
      <c r="D215" s="176">
        <v>164</v>
      </c>
      <c r="E215" s="176">
        <f ca="1">OFFSET(养成框架!$R$63,MATCH(D215,养成框架!$D$64:$D$96,1),0)</f>
        <v>0.178571428571429</v>
      </c>
      <c r="F215" s="176">
        <f ca="1" t="shared" si="12"/>
        <v>110.75</v>
      </c>
      <c r="G215" s="197">
        <f ca="1" t="shared" si="11"/>
        <v>110</v>
      </c>
      <c r="H215" s="19">
        <f ca="1" t="shared" si="13"/>
        <v>30</v>
      </c>
      <c r="I215" s="19">
        <v>90</v>
      </c>
      <c r="J215" s="17">
        <f ca="1" t="shared" si="14"/>
        <v>30</v>
      </c>
      <c r="M215" s="19">
        <v>30</v>
      </c>
      <c r="XFB215" s="17"/>
    </row>
    <row r="216" spans="4:13 16382:16382">
      <c r="D216" s="176">
        <v>165</v>
      </c>
      <c r="E216" s="176">
        <f ca="1">OFFSET(养成框架!$R$63,MATCH(D216,养成框架!$D$64:$D$96,1),0)</f>
        <v>0.178571428571429</v>
      </c>
      <c r="F216" s="176">
        <f ca="1" t="shared" si="12"/>
        <v>110.928571428572</v>
      </c>
      <c r="G216" s="197">
        <f ca="1" t="shared" si="11"/>
        <v>110</v>
      </c>
      <c r="H216" s="19">
        <f ca="1" t="shared" si="13"/>
        <v>30</v>
      </c>
      <c r="I216" s="19">
        <v>90</v>
      </c>
      <c r="J216" s="17">
        <f ca="1" t="shared" si="14"/>
        <v>30</v>
      </c>
      <c r="M216" s="19">
        <v>30</v>
      </c>
      <c r="XFB216" s="17"/>
    </row>
    <row r="217" spans="4:13 16382:16382">
      <c r="D217" s="176">
        <v>166</v>
      </c>
      <c r="E217" s="176">
        <f ca="1">OFFSET(养成框架!$R$63,MATCH(D217,养成框架!$D$64:$D$96,1),0)</f>
        <v>0.178571428571429</v>
      </c>
      <c r="F217" s="176">
        <f ca="1" t="shared" si="12"/>
        <v>111.107142857143</v>
      </c>
      <c r="G217" s="197">
        <f ca="1" t="shared" si="11"/>
        <v>111</v>
      </c>
      <c r="H217" s="19">
        <f ca="1" t="shared" si="13"/>
        <v>30</v>
      </c>
      <c r="I217" s="19">
        <v>91</v>
      </c>
      <c r="J217" s="17">
        <f ca="1" t="shared" si="14"/>
        <v>30</v>
      </c>
      <c r="M217" s="19">
        <v>30</v>
      </c>
      <c r="XFB217" s="17"/>
    </row>
    <row r="218" spans="4:13 16382:16382">
      <c r="D218" s="176">
        <v>167</v>
      </c>
      <c r="E218" s="176">
        <f ca="1">OFFSET(养成框架!$R$63,MATCH(D218,养成框架!$D$64:$D$96,1),0)</f>
        <v>0.178571428571429</v>
      </c>
      <c r="F218" s="176">
        <f ca="1" t="shared" si="12"/>
        <v>111.285714285714</v>
      </c>
      <c r="G218" s="197">
        <f ca="1" t="shared" si="11"/>
        <v>111</v>
      </c>
      <c r="H218" s="19">
        <f ca="1" t="shared" si="13"/>
        <v>30</v>
      </c>
      <c r="I218" s="19">
        <v>91</v>
      </c>
      <c r="J218" s="17">
        <f ca="1" t="shared" si="14"/>
        <v>30</v>
      </c>
      <c r="M218" s="19">
        <v>30</v>
      </c>
      <c r="XFB218" s="17"/>
    </row>
    <row r="219" spans="4:13 16382:16382">
      <c r="D219" s="176">
        <v>168</v>
      </c>
      <c r="E219" s="176">
        <f ca="1">OFFSET(养成框架!$R$63,MATCH(D219,养成框架!$D$64:$D$96,1),0)</f>
        <v>0.178571428571429</v>
      </c>
      <c r="F219" s="176">
        <f ca="1" t="shared" si="12"/>
        <v>111.464285714286</v>
      </c>
      <c r="G219" s="197">
        <f ca="1" t="shared" si="11"/>
        <v>111</v>
      </c>
      <c r="H219" s="19">
        <f ca="1" t="shared" si="13"/>
        <v>30</v>
      </c>
      <c r="I219" s="19">
        <v>91</v>
      </c>
      <c r="J219" s="17">
        <f ca="1" t="shared" si="14"/>
        <v>30</v>
      </c>
      <c r="M219" s="19">
        <v>30</v>
      </c>
      <c r="XFB219" s="17"/>
    </row>
    <row r="220" spans="4:13 16382:16382">
      <c r="D220" s="176">
        <v>169</v>
      </c>
      <c r="E220" s="176">
        <f ca="1">OFFSET(养成框架!$R$63,MATCH(D220,养成框架!$D$64:$D$96,1),0)</f>
        <v>0.178571428571429</v>
      </c>
      <c r="F220" s="176">
        <f ca="1" t="shared" si="12"/>
        <v>111.642857142857</v>
      </c>
      <c r="G220" s="197">
        <f ca="1" t="shared" si="11"/>
        <v>111</v>
      </c>
      <c r="H220" s="19">
        <f ca="1" t="shared" si="13"/>
        <v>30</v>
      </c>
      <c r="I220" s="19">
        <v>91</v>
      </c>
      <c r="J220" s="17">
        <f ca="1" t="shared" si="14"/>
        <v>30</v>
      </c>
      <c r="M220" s="19">
        <v>30</v>
      </c>
      <c r="XFB220" s="17"/>
    </row>
    <row r="221" spans="4:13 16382:16382">
      <c r="D221" s="176">
        <v>170</v>
      </c>
      <c r="E221" s="176">
        <f ca="1">OFFSET(养成框架!$R$63,MATCH(D221,养成框架!$D$64:$D$96,1),0)</f>
        <v>0.178571428571429</v>
      </c>
      <c r="F221" s="176">
        <f ca="1" t="shared" si="12"/>
        <v>111.821428571429</v>
      </c>
      <c r="G221" s="197">
        <f ca="1" t="shared" si="11"/>
        <v>111</v>
      </c>
      <c r="H221" s="19">
        <f ca="1" t="shared" si="13"/>
        <v>30</v>
      </c>
      <c r="I221" s="19">
        <v>91</v>
      </c>
      <c r="J221" s="17">
        <f ca="1" t="shared" si="14"/>
        <v>30</v>
      </c>
      <c r="M221" s="19">
        <v>30</v>
      </c>
      <c r="XFB221" s="17"/>
    </row>
    <row r="222" spans="4:13 16382:16382">
      <c r="D222" s="176">
        <v>171</v>
      </c>
      <c r="E222" s="176">
        <f ca="1">OFFSET(养成框架!$R$63,MATCH(D222,养成框架!$D$64:$D$96,1),0)</f>
        <v>0.178571428571429</v>
      </c>
      <c r="F222" s="176">
        <f ca="1" t="shared" si="12"/>
        <v>112</v>
      </c>
      <c r="G222" s="197">
        <f ca="1" t="shared" si="11"/>
        <v>112</v>
      </c>
      <c r="H222" s="19">
        <f ca="1" t="shared" si="13"/>
        <v>30</v>
      </c>
      <c r="I222" s="19">
        <v>92</v>
      </c>
      <c r="J222" s="17">
        <f ca="1" t="shared" si="14"/>
        <v>30</v>
      </c>
      <c r="M222" s="19">
        <v>30</v>
      </c>
      <c r="XFB222" s="17"/>
    </row>
    <row r="223" spans="4:13 16382:16382">
      <c r="D223" s="176">
        <v>172</v>
      </c>
      <c r="E223" s="176">
        <f ca="1">OFFSET(养成框架!$R$63,MATCH(D223,养成框架!$D$64:$D$96,1),0)</f>
        <v>0.178571428571429</v>
      </c>
      <c r="F223" s="176">
        <f ca="1" t="shared" si="12"/>
        <v>112.178571428572</v>
      </c>
      <c r="G223" s="197">
        <f ca="1" t="shared" si="11"/>
        <v>112</v>
      </c>
      <c r="H223" s="19">
        <f ca="1" t="shared" si="13"/>
        <v>30</v>
      </c>
      <c r="I223" s="19">
        <v>92</v>
      </c>
      <c r="J223" s="17">
        <f ca="1" t="shared" si="14"/>
        <v>30</v>
      </c>
      <c r="M223" s="19">
        <v>30</v>
      </c>
      <c r="XFB223" s="17"/>
    </row>
    <row r="224" spans="4:13 16382:16382">
      <c r="D224" s="176">
        <v>173</v>
      </c>
      <c r="E224" s="176">
        <f ca="1">OFFSET(养成框架!$R$63,MATCH(D224,养成框架!$D$64:$D$96,1),0)</f>
        <v>0.178571428571429</v>
      </c>
      <c r="F224" s="176">
        <f ca="1" t="shared" si="12"/>
        <v>112.357142857143</v>
      </c>
      <c r="G224" s="197">
        <f ca="1" t="shared" si="11"/>
        <v>112</v>
      </c>
      <c r="H224" s="19">
        <f ca="1" t="shared" si="13"/>
        <v>30</v>
      </c>
      <c r="I224" s="19">
        <v>92</v>
      </c>
      <c r="J224" s="17">
        <f ca="1" t="shared" si="14"/>
        <v>30</v>
      </c>
      <c r="M224" s="19">
        <v>30</v>
      </c>
      <c r="XFB224" s="17"/>
    </row>
    <row r="225" spans="4:13 16382:16382">
      <c r="D225" s="176">
        <v>174</v>
      </c>
      <c r="E225" s="176">
        <f ca="1">OFFSET(养成框架!$R$63,MATCH(D225,养成框架!$D$64:$D$96,1),0)</f>
        <v>0.178571428571429</v>
      </c>
      <c r="F225" s="176">
        <f ca="1" t="shared" si="12"/>
        <v>112.535714285714</v>
      </c>
      <c r="G225" s="197">
        <f ca="1" t="shared" si="11"/>
        <v>112</v>
      </c>
      <c r="H225" s="19">
        <f ca="1" t="shared" si="13"/>
        <v>30</v>
      </c>
      <c r="I225" s="19">
        <v>92</v>
      </c>
      <c r="J225" s="17">
        <f ca="1" t="shared" si="14"/>
        <v>30</v>
      </c>
      <c r="M225" s="19">
        <v>30</v>
      </c>
      <c r="XFB225" s="17"/>
    </row>
    <row r="226" spans="4:13 16382:16382">
      <c r="D226" s="176">
        <v>175</v>
      </c>
      <c r="E226" s="176">
        <f ca="1">OFFSET(养成框架!$R$63,MATCH(D226,养成框架!$D$64:$D$96,1),0)</f>
        <v>0.178571428571429</v>
      </c>
      <c r="F226" s="176">
        <f ca="1" t="shared" si="12"/>
        <v>112.714285714286</v>
      </c>
      <c r="G226" s="197">
        <f ca="1" t="shared" si="11"/>
        <v>112</v>
      </c>
      <c r="H226" s="19">
        <f ca="1" t="shared" si="13"/>
        <v>30</v>
      </c>
      <c r="I226" s="19">
        <v>92</v>
      </c>
      <c r="J226" s="17">
        <f ca="1" t="shared" si="14"/>
        <v>30</v>
      </c>
      <c r="M226" s="19">
        <v>30</v>
      </c>
      <c r="XFB226" s="17"/>
    </row>
    <row r="227" spans="4:13 16382:16382">
      <c r="D227" s="176">
        <v>176</v>
      </c>
      <c r="E227" s="176">
        <f ca="1">OFFSET(养成框架!$R$63,MATCH(D227,养成框架!$D$64:$D$96,1),0)</f>
        <v>0.178571428571429</v>
      </c>
      <c r="F227" s="176">
        <f ca="1" t="shared" si="12"/>
        <v>112.892857142857</v>
      </c>
      <c r="G227" s="197">
        <f ca="1" t="shared" si="11"/>
        <v>112</v>
      </c>
      <c r="H227" s="19">
        <f ca="1" t="shared" si="13"/>
        <v>30</v>
      </c>
      <c r="I227" s="19">
        <v>92</v>
      </c>
      <c r="J227" s="17">
        <f ca="1" t="shared" si="14"/>
        <v>30</v>
      </c>
      <c r="M227" s="19">
        <v>30</v>
      </c>
      <c r="XFB227" s="17"/>
    </row>
    <row r="228" spans="4:13 16382:16382">
      <c r="D228" s="176">
        <v>177</v>
      </c>
      <c r="E228" s="176">
        <f ca="1">OFFSET(养成框架!$R$63,MATCH(D228,养成框架!$D$64:$D$96,1),0)</f>
        <v>0.178571428571429</v>
      </c>
      <c r="F228" s="176">
        <f ca="1" t="shared" si="12"/>
        <v>113.071428571429</v>
      </c>
      <c r="G228" s="197">
        <f ca="1" t="shared" si="11"/>
        <v>113</v>
      </c>
      <c r="H228" s="19">
        <f ca="1" t="shared" si="13"/>
        <v>30</v>
      </c>
      <c r="I228" s="19">
        <v>93</v>
      </c>
      <c r="J228" s="17">
        <f ca="1" t="shared" si="14"/>
        <v>30</v>
      </c>
      <c r="M228" s="19">
        <v>30</v>
      </c>
      <c r="XFB228" s="17"/>
    </row>
    <row r="229" spans="4:13 16382:16382">
      <c r="D229" s="176">
        <v>178</v>
      </c>
      <c r="E229" s="176">
        <f ca="1">OFFSET(养成框架!$R$63,MATCH(D229,养成框架!$D$64:$D$96,1),0)</f>
        <v>0.178571428571429</v>
      </c>
      <c r="F229" s="176">
        <f ca="1" t="shared" si="12"/>
        <v>113.25</v>
      </c>
      <c r="G229" s="197">
        <f ca="1" t="shared" si="11"/>
        <v>113</v>
      </c>
      <c r="H229" s="19">
        <f ca="1" t="shared" si="13"/>
        <v>30</v>
      </c>
      <c r="I229" s="19">
        <v>93</v>
      </c>
      <c r="J229" s="17">
        <f ca="1" t="shared" si="14"/>
        <v>30</v>
      </c>
      <c r="M229" s="19">
        <v>30</v>
      </c>
      <c r="XFB229" s="17"/>
    </row>
    <row r="230" spans="4:13 16382:16382">
      <c r="D230" s="176">
        <v>179</v>
      </c>
      <c r="E230" s="176">
        <f ca="1">OFFSET(养成框架!$R$63,MATCH(D230,养成框架!$D$64:$D$96,1),0)</f>
        <v>0.178571428571429</v>
      </c>
      <c r="F230" s="176">
        <f ca="1" t="shared" si="12"/>
        <v>113.428571428572</v>
      </c>
      <c r="G230" s="197">
        <f ca="1" t="shared" si="11"/>
        <v>113</v>
      </c>
      <c r="H230" s="19">
        <f ca="1" t="shared" si="13"/>
        <v>30</v>
      </c>
      <c r="I230" s="19">
        <v>93</v>
      </c>
      <c r="J230" s="17">
        <f ca="1" t="shared" si="14"/>
        <v>30</v>
      </c>
      <c r="M230" s="19">
        <v>30</v>
      </c>
      <c r="XFB230" s="17"/>
    </row>
    <row r="231" spans="4:13 16382:16382">
      <c r="D231" s="176">
        <v>180</v>
      </c>
      <c r="E231" s="176">
        <f ca="1">OFFSET(养成框架!$R$63,MATCH(D231,养成框架!$D$64:$D$96,1),0)</f>
        <v>0.178571428571429</v>
      </c>
      <c r="F231" s="176">
        <f ca="1" t="shared" si="12"/>
        <v>113.607142857143</v>
      </c>
      <c r="G231" s="197">
        <f ca="1" t="shared" si="11"/>
        <v>113</v>
      </c>
      <c r="H231" s="19">
        <f ca="1" t="shared" si="13"/>
        <v>30</v>
      </c>
      <c r="I231" s="19">
        <v>93</v>
      </c>
      <c r="J231" s="17">
        <f ca="1" t="shared" si="14"/>
        <v>30</v>
      </c>
      <c r="M231" s="19">
        <v>30</v>
      </c>
      <c r="XFB231" s="17"/>
    </row>
    <row r="232" spans="4:13 16382:16382">
      <c r="D232" s="176">
        <v>181</v>
      </c>
      <c r="E232" s="176">
        <f ca="1">OFFSET(养成框架!$R$63,MATCH(D232,养成框架!$D$64:$D$96,1),0)</f>
        <v>0.178571428571429</v>
      </c>
      <c r="F232" s="176">
        <f ca="1" t="shared" si="12"/>
        <v>113.785714285715</v>
      </c>
      <c r="G232" s="197">
        <f ca="1" t="shared" si="11"/>
        <v>113</v>
      </c>
      <c r="H232" s="19">
        <f ca="1" t="shared" si="13"/>
        <v>30</v>
      </c>
      <c r="I232" s="19">
        <v>93</v>
      </c>
      <c r="J232" s="17">
        <f ca="1" t="shared" si="14"/>
        <v>30</v>
      </c>
      <c r="M232" s="19">
        <v>30</v>
      </c>
      <c r="XFB232" s="17"/>
    </row>
    <row r="233" spans="4:13 16382:16382">
      <c r="D233" s="176">
        <v>182</v>
      </c>
      <c r="E233" s="176">
        <f ca="1">OFFSET(养成框架!$R$63,MATCH(D233,养成框架!$D$64:$D$96,1),0)</f>
        <v>0.178571428571429</v>
      </c>
      <c r="F233" s="176">
        <f ca="1" t="shared" si="12"/>
        <v>113.964285714286</v>
      </c>
      <c r="G233" s="197">
        <f ca="1" t="shared" si="11"/>
        <v>113</v>
      </c>
      <c r="H233" s="19">
        <f ca="1" t="shared" si="13"/>
        <v>30</v>
      </c>
      <c r="I233" s="19">
        <v>93</v>
      </c>
      <c r="J233" s="17">
        <f ca="1" t="shared" si="14"/>
        <v>30</v>
      </c>
      <c r="M233" s="19">
        <v>30</v>
      </c>
      <c r="XFB233" s="17"/>
    </row>
    <row r="234" spans="4:13 16382:16382">
      <c r="D234" s="176">
        <v>183</v>
      </c>
      <c r="E234" s="176">
        <f ca="1">OFFSET(养成框架!$R$63,MATCH(D234,养成框架!$D$64:$D$96,1),0)</f>
        <v>0.178571428571429</v>
      </c>
      <c r="F234" s="176">
        <f ca="1" t="shared" si="12"/>
        <v>114.142857142857</v>
      </c>
      <c r="G234" s="197">
        <f ca="1" t="shared" si="11"/>
        <v>114</v>
      </c>
      <c r="H234" s="19">
        <f ca="1" t="shared" si="13"/>
        <v>30</v>
      </c>
      <c r="I234" s="19">
        <v>94</v>
      </c>
      <c r="J234" s="17">
        <f ca="1" t="shared" si="14"/>
        <v>30</v>
      </c>
      <c r="M234" s="19">
        <v>30</v>
      </c>
      <c r="XFB234" s="17"/>
    </row>
    <row r="235" spans="4:13 16382:16382">
      <c r="D235" s="176">
        <v>184</v>
      </c>
      <c r="E235" s="176">
        <f ca="1">OFFSET(养成框架!$R$63,MATCH(D235,养成框架!$D$64:$D$96,1),0)</f>
        <v>0.178571428571429</v>
      </c>
      <c r="F235" s="176">
        <f ca="1" t="shared" si="12"/>
        <v>114.321428571429</v>
      </c>
      <c r="G235" s="197">
        <f ca="1" t="shared" si="11"/>
        <v>114</v>
      </c>
      <c r="H235" s="19">
        <f ca="1" t="shared" si="13"/>
        <v>30</v>
      </c>
      <c r="I235" s="19">
        <v>94</v>
      </c>
      <c r="J235" s="17">
        <f ca="1" t="shared" si="14"/>
        <v>30</v>
      </c>
      <c r="M235" s="19">
        <v>30</v>
      </c>
      <c r="XFB235" s="17"/>
    </row>
    <row r="236" spans="4:13 16382:16382">
      <c r="D236" s="176">
        <v>185</v>
      </c>
      <c r="E236" s="176">
        <f ca="1">OFFSET(养成框架!$R$63,MATCH(D236,养成框架!$D$64:$D$96,1),0)</f>
        <v>0.178571428571429</v>
      </c>
      <c r="F236" s="176">
        <f ca="1" t="shared" si="12"/>
        <v>114.5</v>
      </c>
      <c r="G236" s="197">
        <f ca="1" t="shared" si="11"/>
        <v>114</v>
      </c>
      <c r="H236" s="19">
        <f ca="1" t="shared" si="13"/>
        <v>30</v>
      </c>
      <c r="I236" s="19">
        <v>94</v>
      </c>
      <c r="J236" s="17">
        <f ca="1" t="shared" si="14"/>
        <v>30</v>
      </c>
      <c r="M236" s="19">
        <v>30</v>
      </c>
      <c r="XFB236" s="17"/>
    </row>
    <row r="237" spans="4:13 16382:16382">
      <c r="D237" s="176">
        <v>186</v>
      </c>
      <c r="E237" s="176">
        <f ca="1">OFFSET(养成框架!$R$63,MATCH(D237,养成框架!$D$64:$D$96,1),0)</f>
        <v>0.178571428571429</v>
      </c>
      <c r="F237" s="176">
        <f ca="1" t="shared" si="12"/>
        <v>114.678571428572</v>
      </c>
      <c r="G237" s="197">
        <f ca="1" t="shared" si="11"/>
        <v>114</v>
      </c>
      <c r="H237" s="19">
        <f ca="1" t="shared" si="13"/>
        <v>30</v>
      </c>
      <c r="I237" s="19">
        <v>94</v>
      </c>
      <c r="J237" s="17">
        <f ca="1" t="shared" si="14"/>
        <v>30</v>
      </c>
      <c r="M237" s="19">
        <v>30</v>
      </c>
      <c r="XFB237" s="17"/>
    </row>
    <row r="238" spans="4:13 16382:16382">
      <c r="D238" s="176">
        <v>187</v>
      </c>
      <c r="E238" s="176">
        <f ca="1">OFFSET(养成框架!$R$63,MATCH(D238,养成框架!$D$64:$D$96,1),0)</f>
        <v>0.178571428571429</v>
      </c>
      <c r="F238" s="176">
        <f ca="1" t="shared" si="12"/>
        <v>114.857142857143</v>
      </c>
      <c r="G238" s="197">
        <f ca="1" t="shared" si="11"/>
        <v>114</v>
      </c>
      <c r="H238" s="19">
        <f ca="1" t="shared" si="13"/>
        <v>30</v>
      </c>
      <c r="I238" s="19">
        <v>94</v>
      </c>
      <c r="J238" s="17">
        <f ca="1" t="shared" si="14"/>
        <v>30</v>
      </c>
      <c r="M238" s="19">
        <v>30</v>
      </c>
      <c r="XFB238" s="17"/>
    </row>
    <row r="239" spans="4:13 16382:16382">
      <c r="D239" s="176">
        <v>188</v>
      </c>
      <c r="E239" s="176">
        <f ca="1">OFFSET(养成框架!$R$63,MATCH(D239,养成框架!$D$64:$D$96,1),0)</f>
        <v>0.178571428571429</v>
      </c>
      <c r="F239" s="176">
        <f ca="1" t="shared" si="12"/>
        <v>115.035714285715</v>
      </c>
      <c r="G239" s="197">
        <f ca="1" t="shared" si="11"/>
        <v>115</v>
      </c>
      <c r="H239" s="19">
        <f ca="1" t="shared" si="13"/>
        <v>30</v>
      </c>
      <c r="I239" s="19">
        <v>95</v>
      </c>
      <c r="J239" s="17">
        <f ca="1" t="shared" si="14"/>
        <v>30</v>
      </c>
      <c r="M239" s="19">
        <v>30</v>
      </c>
      <c r="XFB239" s="17"/>
    </row>
    <row r="240" spans="4:13 16382:16382">
      <c r="D240" s="176">
        <v>189</v>
      </c>
      <c r="E240" s="176">
        <f ca="1">OFFSET(养成框架!$R$63,MATCH(D240,养成框架!$D$64:$D$96,1),0)</f>
        <v>0.178571428571429</v>
      </c>
      <c r="F240" s="176">
        <f ca="1" t="shared" si="12"/>
        <v>115.214285714286</v>
      </c>
      <c r="G240" s="197">
        <f ca="1" t="shared" si="11"/>
        <v>115</v>
      </c>
      <c r="H240" s="19">
        <f ca="1" t="shared" si="13"/>
        <v>30</v>
      </c>
      <c r="I240" s="19">
        <v>95</v>
      </c>
      <c r="J240" s="17">
        <f ca="1" t="shared" si="14"/>
        <v>30</v>
      </c>
      <c r="M240" s="19">
        <v>30</v>
      </c>
      <c r="XFB240" s="17"/>
    </row>
    <row r="241" spans="4:13 16382:16382">
      <c r="D241" s="176">
        <v>190</v>
      </c>
      <c r="E241" s="176">
        <f ca="1">OFFSET(养成框架!$R$63,MATCH(D241,养成框架!$D$64:$D$96,1),0)</f>
        <v>0.178571428571429</v>
      </c>
      <c r="F241" s="176">
        <f ca="1" t="shared" si="12"/>
        <v>115.392857142857</v>
      </c>
      <c r="G241" s="197">
        <f ca="1" t="shared" si="11"/>
        <v>115</v>
      </c>
      <c r="H241" s="19">
        <f ca="1" t="shared" si="13"/>
        <v>30</v>
      </c>
      <c r="I241" s="19">
        <v>95</v>
      </c>
      <c r="J241" s="17">
        <f ca="1" t="shared" si="14"/>
        <v>30</v>
      </c>
      <c r="M241" s="19">
        <v>30</v>
      </c>
      <c r="XFB241" s="17"/>
    </row>
    <row r="242" spans="4:13 16382:16382">
      <c r="D242" s="176">
        <v>191</v>
      </c>
      <c r="E242" s="176">
        <f ca="1">OFFSET(养成框架!$R$63,MATCH(D242,养成框架!$D$64:$D$96,1),0)</f>
        <v>0.178571428571429</v>
      </c>
      <c r="F242" s="176">
        <f ca="1" t="shared" si="12"/>
        <v>115.571428571429</v>
      </c>
      <c r="G242" s="197">
        <f ca="1" t="shared" si="11"/>
        <v>115</v>
      </c>
      <c r="H242" s="19">
        <f ca="1" t="shared" si="13"/>
        <v>30</v>
      </c>
      <c r="I242" s="19">
        <v>95</v>
      </c>
      <c r="J242" s="17">
        <f ca="1" t="shared" si="14"/>
        <v>30</v>
      </c>
      <c r="M242" s="19">
        <v>30</v>
      </c>
      <c r="XFB242" s="17"/>
    </row>
    <row r="243" spans="4:13 16382:16382">
      <c r="D243" s="176">
        <v>192</v>
      </c>
      <c r="E243" s="176">
        <f ca="1">OFFSET(养成框架!$R$63,MATCH(D243,养成框架!$D$64:$D$96,1),0)</f>
        <v>0.178571428571429</v>
      </c>
      <c r="F243" s="176">
        <f ca="1" t="shared" si="12"/>
        <v>115.75</v>
      </c>
      <c r="G243" s="197">
        <f ca="1" t="shared" si="11"/>
        <v>115</v>
      </c>
      <c r="H243" s="19">
        <f ca="1" t="shared" si="13"/>
        <v>30</v>
      </c>
      <c r="I243" s="19">
        <v>95</v>
      </c>
      <c r="J243" s="17">
        <f ca="1" t="shared" si="14"/>
        <v>30</v>
      </c>
      <c r="M243" s="19">
        <v>30</v>
      </c>
      <c r="XFB243" s="17"/>
    </row>
    <row r="244" spans="4:13 16382:16382">
      <c r="D244" s="176">
        <v>193</v>
      </c>
      <c r="E244" s="176">
        <f ca="1">OFFSET(养成框架!$R$63,MATCH(D244,养成框架!$D$64:$D$96,1),0)</f>
        <v>0.178571428571429</v>
      </c>
      <c r="F244" s="176">
        <f ca="1" t="shared" si="12"/>
        <v>115.928571428572</v>
      </c>
      <c r="G244" s="197">
        <f ca="1" t="shared" ref="G244:G307" si="15">INT(F244)</f>
        <v>115</v>
      </c>
      <c r="H244" s="19">
        <f ca="1" t="shared" si="13"/>
        <v>30</v>
      </c>
      <c r="I244" s="19">
        <v>96</v>
      </c>
      <c r="J244" s="17">
        <f ca="1" t="shared" si="14"/>
        <v>30</v>
      </c>
      <c r="M244" s="19">
        <v>30</v>
      </c>
      <c r="XFB244" s="17"/>
    </row>
    <row r="245" spans="4:13 16382:16382">
      <c r="D245" s="176">
        <v>194</v>
      </c>
      <c r="E245" s="176">
        <f ca="1">OFFSET(养成框架!$R$63,MATCH(D245,养成框架!$D$64:$D$96,1),0)</f>
        <v>0.178571428571429</v>
      </c>
      <c r="F245" s="176">
        <f ca="1" t="shared" ref="F245:F308" si="16">E245+F244</f>
        <v>116.107142857143</v>
      </c>
      <c r="G245" s="197">
        <f ca="1" t="shared" si="15"/>
        <v>116</v>
      </c>
      <c r="H245" s="19">
        <f ca="1" t="shared" ref="H245:H308" si="17">OFFSET($L$51,MATCH(F245,$K$52:$K$81,1),0)</f>
        <v>30</v>
      </c>
      <c r="I245" s="19">
        <v>96</v>
      </c>
      <c r="J245" s="17">
        <f ca="1" t="shared" ref="J245:J308" si="18">OFFSET($L$51,MATCH(I245,$K$52:$K$81,1),0)</f>
        <v>30</v>
      </c>
      <c r="M245" s="19">
        <v>30</v>
      </c>
      <c r="XFB245" s="17"/>
    </row>
    <row r="246" spans="4:13 16382:16382">
      <c r="D246" s="176">
        <v>195</v>
      </c>
      <c r="E246" s="176">
        <f ca="1">OFFSET(养成框架!$R$63,MATCH(D246,养成框架!$D$64:$D$96,1),0)</f>
        <v>0.178571428571429</v>
      </c>
      <c r="F246" s="176">
        <f ca="1" t="shared" si="16"/>
        <v>116.285714285715</v>
      </c>
      <c r="G246" s="197">
        <f ca="1" t="shared" si="15"/>
        <v>116</v>
      </c>
      <c r="H246" s="19">
        <f ca="1" t="shared" si="17"/>
        <v>30</v>
      </c>
      <c r="I246" s="19">
        <v>96</v>
      </c>
      <c r="J246" s="17">
        <f ca="1" t="shared" si="18"/>
        <v>30</v>
      </c>
      <c r="M246" s="19">
        <v>30</v>
      </c>
      <c r="XFB246" s="17"/>
    </row>
    <row r="247" spans="4:13 16382:16382">
      <c r="D247" s="176">
        <v>196</v>
      </c>
      <c r="E247" s="176">
        <f ca="1">OFFSET(养成框架!$R$63,MATCH(D247,养成框架!$D$64:$D$96,1),0)</f>
        <v>0.178571428571429</v>
      </c>
      <c r="F247" s="176">
        <f ca="1" t="shared" si="16"/>
        <v>116.464285714286</v>
      </c>
      <c r="G247" s="197">
        <f ca="1" t="shared" si="15"/>
        <v>116</v>
      </c>
      <c r="H247" s="19">
        <f ca="1" t="shared" si="17"/>
        <v>30</v>
      </c>
      <c r="I247" s="19">
        <v>96</v>
      </c>
      <c r="J247" s="17">
        <f ca="1" t="shared" si="18"/>
        <v>30</v>
      </c>
      <c r="M247" s="19">
        <v>30</v>
      </c>
      <c r="XFB247" s="17"/>
    </row>
    <row r="248" spans="4:13 16382:16382">
      <c r="D248" s="176">
        <v>197</v>
      </c>
      <c r="E248" s="176">
        <f ca="1">OFFSET(养成框架!$R$63,MATCH(D248,养成框架!$D$64:$D$96,1),0)</f>
        <v>0.178571428571429</v>
      </c>
      <c r="F248" s="176">
        <f ca="1" t="shared" si="16"/>
        <v>116.642857142857</v>
      </c>
      <c r="G248" s="197">
        <f ca="1" t="shared" si="15"/>
        <v>116</v>
      </c>
      <c r="H248" s="19">
        <f ca="1" t="shared" si="17"/>
        <v>30</v>
      </c>
      <c r="I248" s="19">
        <v>96</v>
      </c>
      <c r="J248" s="17">
        <f ca="1" t="shared" si="18"/>
        <v>30</v>
      </c>
      <c r="M248" s="19">
        <v>30</v>
      </c>
      <c r="XFB248" s="17"/>
    </row>
    <row r="249" spans="4:13 16382:16382">
      <c r="D249" s="176">
        <v>198</v>
      </c>
      <c r="E249" s="176">
        <f ca="1">OFFSET(养成框架!$R$63,MATCH(D249,养成框架!$D$64:$D$96,1),0)</f>
        <v>0.178571428571429</v>
      </c>
      <c r="F249" s="176">
        <f ca="1" t="shared" si="16"/>
        <v>116.821428571429</v>
      </c>
      <c r="G249" s="197">
        <f ca="1" t="shared" si="15"/>
        <v>116</v>
      </c>
      <c r="H249" s="19">
        <f ca="1" t="shared" si="17"/>
        <v>30</v>
      </c>
      <c r="I249" s="19">
        <v>97</v>
      </c>
      <c r="J249" s="17">
        <f ca="1" t="shared" si="18"/>
        <v>30</v>
      </c>
      <c r="M249" s="19">
        <v>30</v>
      </c>
      <c r="XFB249" s="17"/>
    </row>
    <row r="250" spans="4:13 16382:16382">
      <c r="D250" s="176">
        <v>199</v>
      </c>
      <c r="E250" s="176">
        <f ca="1">OFFSET(养成框架!$R$63,MATCH(D250,养成框架!$D$64:$D$96,1),0)</f>
        <v>0.178571428571429</v>
      </c>
      <c r="F250" s="176">
        <f ca="1" t="shared" si="16"/>
        <v>117</v>
      </c>
      <c r="G250" s="197">
        <f ca="1" t="shared" si="15"/>
        <v>117</v>
      </c>
      <c r="H250" s="19">
        <f ca="1" t="shared" si="17"/>
        <v>30</v>
      </c>
      <c r="I250" s="19">
        <v>97</v>
      </c>
      <c r="J250" s="17">
        <f ca="1" t="shared" si="18"/>
        <v>30</v>
      </c>
      <c r="M250" s="19">
        <v>30</v>
      </c>
      <c r="XFB250" s="17"/>
    </row>
    <row r="251" spans="4:13 16382:16382">
      <c r="D251" s="176">
        <v>200</v>
      </c>
      <c r="E251" s="176">
        <f ca="1">OFFSET(养成框架!$R$63,MATCH(D251,养成框架!$D$64:$D$96,1),0)</f>
        <v>0.178571428571429</v>
      </c>
      <c r="F251" s="176">
        <f ca="1" t="shared" si="16"/>
        <v>117.178571428572</v>
      </c>
      <c r="G251" s="197">
        <f ca="1" t="shared" si="15"/>
        <v>117</v>
      </c>
      <c r="H251" s="19">
        <f ca="1" t="shared" si="17"/>
        <v>30</v>
      </c>
      <c r="I251" s="19">
        <v>97</v>
      </c>
      <c r="J251" s="17">
        <f ca="1" t="shared" si="18"/>
        <v>30</v>
      </c>
      <c r="M251" s="19">
        <v>30</v>
      </c>
      <c r="XFB251" s="17"/>
    </row>
    <row r="252" spans="4:13 16382:16382">
      <c r="D252" s="176">
        <v>201</v>
      </c>
      <c r="E252" s="176">
        <f ca="1">OFFSET(养成框架!$R$63,MATCH(D252,养成框架!$D$64:$D$96,1),0)</f>
        <v>0.178571428571429</v>
      </c>
      <c r="F252" s="176">
        <f ca="1" t="shared" si="16"/>
        <v>117.357142857143</v>
      </c>
      <c r="G252" s="197">
        <f ca="1" t="shared" si="15"/>
        <v>117</v>
      </c>
      <c r="H252" s="19">
        <f ca="1" t="shared" si="17"/>
        <v>30</v>
      </c>
      <c r="I252" s="19">
        <v>97</v>
      </c>
      <c r="J252" s="17">
        <f ca="1" t="shared" si="18"/>
        <v>30</v>
      </c>
      <c r="M252" s="19">
        <v>30</v>
      </c>
    </row>
    <row r="253" spans="4:13 16382:16382">
      <c r="D253" s="176">
        <v>202</v>
      </c>
      <c r="E253" s="176">
        <f ca="1">OFFSET(养成框架!$R$63,MATCH(D253,养成框架!$D$64:$D$96,1),0)</f>
        <v>0.178571428571429</v>
      </c>
      <c r="F253" s="176">
        <f ca="1" t="shared" si="16"/>
        <v>117.535714285715</v>
      </c>
      <c r="G253" s="197">
        <f ca="1" t="shared" si="15"/>
        <v>117</v>
      </c>
      <c r="H253" s="19">
        <f ca="1" t="shared" si="17"/>
        <v>30</v>
      </c>
      <c r="I253" s="19">
        <v>97</v>
      </c>
      <c r="J253" s="17">
        <f ca="1" t="shared" si="18"/>
        <v>30</v>
      </c>
      <c r="M253" s="19">
        <v>30</v>
      </c>
    </row>
    <row r="254" spans="4:13 16382:16382">
      <c r="D254" s="176">
        <v>203</v>
      </c>
      <c r="E254" s="176">
        <f ca="1">OFFSET(养成框架!$R$63,MATCH(D254,养成框架!$D$64:$D$96,1),0)</f>
        <v>0.178571428571429</v>
      </c>
      <c r="F254" s="176">
        <f ca="1" t="shared" si="16"/>
        <v>117.714285714286</v>
      </c>
      <c r="G254" s="197">
        <f ca="1" t="shared" si="15"/>
        <v>117</v>
      </c>
      <c r="H254" s="19">
        <f ca="1" t="shared" si="17"/>
        <v>30</v>
      </c>
      <c r="I254" s="19">
        <v>97</v>
      </c>
      <c r="J254" s="17">
        <f ca="1" t="shared" si="18"/>
        <v>30</v>
      </c>
      <c r="M254" s="19">
        <v>30</v>
      </c>
    </row>
    <row r="255" spans="4:13 16382:16382">
      <c r="D255" s="176">
        <v>204</v>
      </c>
      <c r="E255" s="176">
        <f ca="1">OFFSET(养成框架!$R$63,MATCH(D255,养成框架!$D$64:$D$96,1),0)</f>
        <v>0.178571428571429</v>
      </c>
      <c r="F255" s="176">
        <f ca="1" t="shared" si="16"/>
        <v>117.892857142857</v>
      </c>
      <c r="G255" s="197">
        <f ca="1" t="shared" si="15"/>
        <v>117</v>
      </c>
      <c r="H255" s="19">
        <f ca="1" t="shared" si="17"/>
        <v>30</v>
      </c>
      <c r="I255" s="19">
        <v>98</v>
      </c>
      <c r="J255" s="17">
        <f ca="1" t="shared" si="18"/>
        <v>30</v>
      </c>
      <c r="M255" s="19">
        <v>30</v>
      </c>
    </row>
    <row r="256" spans="4:13 16382:16382">
      <c r="D256" s="176">
        <v>205</v>
      </c>
      <c r="E256" s="176">
        <f ca="1">OFFSET(养成框架!$R$63,MATCH(D256,养成框架!$D$64:$D$96,1),0)</f>
        <v>0.178571428571429</v>
      </c>
      <c r="F256" s="176">
        <f ca="1" t="shared" si="16"/>
        <v>118.071428571429</v>
      </c>
      <c r="G256" s="197">
        <f ca="1" t="shared" si="15"/>
        <v>118</v>
      </c>
      <c r="H256" s="19">
        <f ca="1" t="shared" si="17"/>
        <v>30</v>
      </c>
      <c r="I256" s="19">
        <v>98</v>
      </c>
      <c r="J256" s="17">
        <f ca="1" t="shared" si="18"/>
        <v>30</v>
      </c>
      <c r="M256" s="19">
        <v>30</v>
      </c>
    </row>
    <row r="257" spans="4:13">
      <c r="D257" s="176">
        <v>206</v>
      </c>
      <c r="E257" s="176">
        <f ca="1">OFFSET(养成框架!$R$63,MATCH(D257,养成框架!$D$64:$D$96,1),0)</f>
        <v>0.178571428571429</v>
      </c>
      <c r="F257" s="176">
        <f ca="1" t="shared" si="16"/>
        <v>118.25</v>
      </c>
      <c r="G257" s="197">
        <f ca="1" t="shared" si="15"/>
        <v>118</v>
      </c>
      <c r="H257" s="19">
        <f ca="1" t="shared" si="17"/>
        <v>30</v>
      </c>
      <c r="I257" s="19">
        <v>98</v>
      </c>
      <c r="J257" s="17">
        <f ca="1" t="shared" si="18"/>
        <v>30</v>
      </c>
      <c r="M257" s="19">
        <v>30</v>
      </c>
    </row>
    <row r="258" spans="4:13">
      <c r="D258" s="176">
        <v>207</v>
      </c>
      <c r="E258" s="176">
        <f ca="1">OFFSET(养成框架!$R$63,MATCH(D258,养成框架!$D$64:$D$96,1),0)</f>
        <v>0.178571428571429</v>
      </c>
      <c r="F258" s="176">
        <f ca="1" t="shared" si="16"/>
        <v>118.428571428572</v>
      </c>
      <c r="G258" s="197">
        <f ca="1" t="shared" si="15"/>
        <v>118</v>
      </c>
      <c r="H258" s="19">
        <f ca="1" t="shared" si="17"/>
        <v>30</v>
      </c>
      <c r="I258" s="19">
        <v>98</v>
      </c>
      <c r="J258" s="17">
        <f ca="1" t="shared" si="18"/>
        <v>30</v>
      </c>
      <c r="M258" s="19">
        <v>30</v>
      </c>
    </row>
    <row r="259" spans="4:13">
      <c r="D259" s="176">
        <v>208</v>
      </c>
      <c r="E259" s="176">
        <f ca="1">OFFSET(养成框架!$R$63,MATCH(D259,养成框架!$D$64:$D$96,1),0)</f>
        <v>0.178571428571429</v>
      </c>
      <c r="F259" s="176">
        <f ca="1" t="shared" si="16"/>
        <v>118.607142857143</v>
      </c>
      <c r="G259" s="197">
        <f ca="1" t="shared" si="15"/>
        <v>118</v>
      </c>
      <c r="H259" s="19">
        <f ca="1" t="shared" si="17"/>
        <v>30</v>
      </c>
      <c r="I259" s="19">
        <v>98</v>
      </c>
      <c r="J259" s="17">
        <f ca="1" t="shared" si="18"/>
        <v>30</v>
      </c>
      <c r="M259" s="19">
        <v>30</v>
      </c>
    </row>
    <row r="260" spans="4:13">
      <c r="D260" s="176">
        <v>209</v>
      </c>
      <c r="E260" s="176">
        <f ca="1">OFFSET(养成框架!$R$63,MATCH(D260,养成框架!$D$64:$D$96,1),0)</f>
        <v>0.178571428571429</v>
      </c>
      <c r="F260" s="176">
        <f ca="1" t="shared" si="16"/>
        <v>118.785714285715</v>
      </c>
      <c r="G260" s="197">
        <f ca="1" t="shared" si="15"/>
        <v>118</v>
      </c>
      <c r="H260" s="19">
        <f ca="1" t="shared" si="17"/>
        <v>30</v>
      </c>
      <c r="I260" s="19">
        <v>99</v>
      </c>
      <c r="J260" s="17">
        <f ca="1" t="shared" si="18"/>
        <v>30</v>
      </c>
      <c r="M260" s="19">
        <v>30</v>
      </c>
    </row>
    <row r="261" spans="4:13">
      <c r="D261" s="176">
        <v>210</v>
      </c>
      <c r="E261" s="176">
        <f ca="1">OFFSET(养成框架!$R$63,MATCH(D261,养成框架!$D$64:$D$96,1),0)</f>
        <v>0.178571428571429</v>
      </c>
      <c r="F261" s="176">
        <f ca="1" t="shared" si="16"/>
        <v>118.964285714286</v>
      </c>
      <c r="G261" s="197">
        <f ca="1" t="shared" si="15"/>
        <v>118</v>
      </c>
      <c r="H261" s="19">
        <f ca="1" t="shared" si="17"/>
        <v>30</v>
      </c>
      <c r="I261" s="19">
        <v>99</v>
      </c>
      <c r="J261" s="17">
        <f ca="1" t="shared" si="18"/>
        <v>30</v>
      </c>
      <c r="M261" s="19">
        <v>30</v>
      </c>
    </row>
    <row r="262" spans="4:13">
      <c r="D262" s="176">
        <v>211</v>
      </c>
      <c r="E262" s="176">
        <f ca="1">OFFSET(养成框架!$R$63,MATCH(D262,养成框架!$D$64:$D$96,1),0)</f>
        <v>0.178571428571429</v>
      </c>
      <c r="F262" s="176">
        <f ca="1" t="shared" si="16"/>
        <v>119.142857142857</v>
      </c>
      <c r="G262" s="197">
        <f ca="1" t="shared" si="15"/>
        <v>119</v>
      </c>
      <c r="H262" s="19">
        <f ca="1" t="shared" si="17"/>
        <v>30</v>
      </c>
      <c r="I262" s="19">
        <v>99</v>
      </c>
      <c r="J262" s="17">
        <f ca="1" t="shared" si="18"/>
        <v>30</v>
      </c>
      <c r="M262" s="19">
        <v>30</v>
      </c>
    </row>
    <row r="263" spans="4:13">
      <c r="D263" s="176">
        <v>212</v>
      </c>
      <c r="E263" s="176">
        <f ca="1">OFFSET(养成框架!$R$63,MATCH(D263,养成框架!$D$64:$D$96,1),0)</f>
        <v>0.178571428571429</v>
      </c>
      <c r="F263" s="176">
        <f ca="1" t="shared" si="16"/>
        <v>119.321428571429</v>
      </c>
      <c r="G263" s="197">
        <f ca="1" t="shared" si="15"/>
        <v>119</v>
      </c>
      <c r="H263" s="19">
        <f ca="1" t="shared" si="17"/>
        <v>30</v>
      </c>
      <c r="I263" s="19">
        <v>99</v>
      </c>
      <c r="J263" s="17">
        <f ca="1" t="shared" si="18"/>
        <v>30</v>
      </c>
      <c r="M263" s="19">
        <v>30</v>
      </c>
    </row>
    <row r="264" spans="4:13">
      <c r="D264" s="176">
        <v>213</v>
      </c>
      <c r="E264" s="176">
        <f ca="1">OFFSET(养成框架!$R$63,MATCH(D264,养成框架!$D$64:$D$96,1),0)</f>
        <v>0.178571428571429</v>
      </c>
      <c r="F264" s="176">
        <f ca="1" t="shared" si="16"/>
        <v>119.5</v>
      </c>
      <c r="G264" s="197">
        <f ca="1" t="shared" si="15"/>
        <v>119</v>
      </c>
      <c r="H264" s="19">
        <f ca="1" t="shared" si="17"/>
        <v>30</v>
      </c>
      <c r="I264" s="19">
        <v>99</v>
      </c>
      <c r="J264" s="17">
        <f ca="1" t="shared" si="18"/>
        <v>30</v>
      </c>
      <c r="M264" s="19">
        <v>30</v>
      </c>
    </row>
    <row r="265" spans="4:13">
      <c r="D265" s="176">
        <v>214</v>
      </c>
      <c r="E265" s="176">
        <f ca="1">OFFSET(养成框架!$R$63,MATCH(D265,养成框架!$D$64:$D$96,1),0)</f>
        <v>0.178571428571429</v>
      </c>
      <c r="F265" s="176">
        <f ca="1" t="shared" si="16"/>
        <v>119.678571428572</v>
      </c>
      <c r="G265" s="197">
        <f ca="1" t="shared" si="15"/>
        <v>119</v>
      </c>
      <c r="H265" s="19">
        <f ca="1" t="shared" si="17"/>
        <v>30</v>
      </c>
      <c r="I265" s="19">
        <v>99</v>
      </c>
      <c r="J265" s="17">
        <f ca="1" t="shared" si="18"/>
        <v>30</v>
      </c>
      <c r="M265" s="19">
        <v>30</v>
      </c>
    </row>
    <row r="266" spans="4:13">
      <c r="D266" s="176">
        <v>215</v>
      </c>
      <c r="E266" s="176">
        <f ca="1">OFFSET(养成框架!$R$63,MATCH(D266,养成框架!$D$64:$D$96,1),0)</f>
        <v>0.178571428571429</v>
      </c>
      <c r="F266" s="176">
        <f ca="1" t="shared" si="16"/>
        <v>119.857142857143</v>
      </c>
      <c r="G266" s="197">
        <f ca="1" t="shared" si="15"/>
        <v>119</v>
      </c>
      <c r="H266" s="19">
        <f ca="1" t="shared" si="17"/>
        <v>30</v>
      </c>
      <c r="I266" s="19">
        <v>100</v>
      </c>
      <c r="J266" s="17">
        <f ca="1" t="shared" si="18"/>
        <v>30</v>
      </c>
      <c r="M266" s="19">
        <v>30</v>
      </c>
    </row>
    <row r="267" spans="4:13">
      <c r="D267" s="176">
        <v>216</v>
      </c>
      <c r="E267" s="176">
        <f ca="1">OFFSET(养成框架!$R$63,MATCH(D267,养成框架!$D$64:$D$96,1),0)</f>
        <v>0.178571428571429</v>
      </c>
      <c r="F267" s="176">
        <f ca="1" t="shared" si="16"/>
        <v>120.035714285715</v>
      </c>
      <c r="G267" s="197">
        <f ca="1" t="shared" si="15"/>
        <v>120</v>
      </c>
      <c r="H267" s="19">
        <f ca="1" t="shared" si="17"/>
        <v>30</v>
      </c>
      <c r="I267" s="19">
        <v>100</v>
      </c>
      <c r="J267" s="17">
        <f ca="1" t="shared" si="18"/>
        <v>30</v>
      </c>
      <c r="M267" s="19">
        <v>30</v>
      </c>
    </row>
    <row r="268" spans="4:13">
      <c r="D268" s="176">
        <v>217</v>
      </c>
      <c r="E268" s="176">
        <f ca="1">OFFSET(养成框架!$R$63,MATCH(D268,养成框架!$D$64:$D$96,1),0)</f>
        <v>0.178571428571429</v>
      </c>
      <c r="F268" s="176">
        <f ca="1" t="shared" si="16"/>
        <v>120.214285714286</v>
      </c>
      <c r="G268" s="197">
        <f ca="1" t="shared" si="15"/>
        <v>120</v>
      </c>
      <c r="H268" s="19">
        <f ca="1" t="shared" si="17"/>
        <v>30</v>
      </c>
      <c r="I268" s="19">
        <v>100</v>
      </c>
      <c r="J268" s="17">
        <f ca="1" t="shared" si="18"/>
        <v>30</v>
      </c>
      <c r="M268" s="19">
        <v>30</v>
      </c>
    </row>
    <row r="269" spans="4:13">
      <c r="D269" s="176">
        <v>218</v>
      </c>
      <c r="E269" s="176">
        <f ca="1">OFFSET(养成框架!$R$63,MATCH(D269,养成框架!$D$64:$D$96,1),0)</f>
        <v>0.178571428571429</v>
      </c>
      <c r="F269" s="176">
        <f ca="1" t="shared" si="16"/>
        <v>120.392857142857</v>
      </c>
      <c r="G269" s="197">
        <f ca="1" t="shared" si="15"/>
        <v>120</v>
      </c>
      <c r="H269" s="19">
        <f ca="1" t="shared" si="17"/>
        <v>30</v>
      </c>
      <c r="I269" s="19">
        <v>100</v>
      </c>
      <c r="J269" s="17">
        <f ca="1" t="shared" si="18"/>
        <v>30</v>
      </c>
      <c r="M269" s="19">
        <v>30</v>
      </c>
    </row>
    <row r="270" spans="4:13">
      <c r="D270" s="176">
        <v>219</v>
      </c>
      <c r="E270" s="176">
        <f ca="1">OFFSET(养成框架!$R$63,MATCH(D270,养成框架!$D$64:$D$96,1),0)</f>
        <v>0.178571428571429</v>
      </c>
      <c r="F270" s="176">
        <f ca="1" t="shared" si="16"/>
        <v>120.571428571429</v>
      </c>
      <c r="G270" s="197">
        <f ca="1" t="shared" si="15"/>
        <v>120</v>
      </c>
      <c r="H270" s="19">
        <f ca="1" t="shared" si="17"/>
        <v>30</v>
      </c>
      <c r="I270" s="19">
        <v>100</v>
      </c>
      <c r="J270" s="17">
        <f ca="1" t="shared" si="18"/>
        <v>30</v>
      </c>
      <c r="M270" s="19">
        <v>30</v>
      </c>
    </row>
    <row r="271" spans="4:13">
      <c r="D271" s="176">
        <v>220</v>
      </c>
      <c r="E271" s="176">
        <f ca="1">OFFSET(养成框架!$R$63,MATCH(D271,养成框架!$D$64:$D$96,1),0)</f>
        <v>0.178571428571429</v>
      </c>
      <c r="F271" s="176">
        <f ca="1" t="shared" si="16"/>
        <v>120.75</v>
      </c>
      <c r="G271" s="197">
        <f ca="1" t="shared" si="15"/>
        <v>120</v>
      </c>
      <c r="H271" s="19">
        <f ca="1" t="shared" si="17"/>
        <v>30</v>
      </c>
      <c r="I271" s="19">
        <v>100</v>
      </c>
      <c r="J271" s="17">
        <f ca="1" t="shared" si="18"/>
        <v>30</v>
      </c>
      <c r="M271" s="19">
        <v>30</v>
      </c>
    </row>
    <row r="272" spans="4:13">
      <c r="D272" s="176">
        <v>221</v>
      </c>
      <c r="E272" s="176">
        <f ca="1">OFFSET(养成框架!$R$63,MATCH(D272,养成框架!$D$64:$D$96,1),0)</f>
        <v>0.178571428571429</v>
      </c>
      <c r="F272" s="176">
        <f ca="1" t="shared" si="16"/>
        <v>120.928571428572</v>
      </c>
      <c r="G272" s="197">
        <f ca="1" t="shared" si="15"/>
        <v>120</v>
      </c>
      <c r="H272" s="19">
        <f ca="1" t="shared" si="17"/>
        <v>30</v>
      </c>
      <c r="I272" s="19">
        <v>101</v>
      </c>
      <c r="J272" s="17">
        <f ca="1" t="shared" si="18"/>
        <v>30</v>
      </c>
      <c r="M272" s="19">
        <v>30</v>
      </c>
    </row>
    <row r="273" spans="4:13">
      <c r="D273" s="176">
        <v>222</v>
      </c>
      <c r="E273" s="176">
        <f ca="1">OFFSET(养成框架!$R$63,MATCH(D273,养成框架!$D$64:$D$96,1),0)</f>
        <v>0.178571428571429</v>
      </c>
      <c r="F273" s="176">
        <f ca="1" t="shared" si="16"/>
        <v>121.107142857143</v>
      </c>
      <c r="G273" s="197">
        <f ca="1" t="shared" si="15"/>
        <v>121</v>
      </c>
      <c r="H273" s="19">
        <f ca="1" t="shared" si="17"/>
        <v>30</v>
      </c>
      <c r="I273" s="19">
        <v>101</v>
      </c>
      <c r="J273" s="17">
        <f ca="1" t="shared" si="18"/>
        <v>30</v>
      </c>
      <c r="M273" s="19">
        <v>30</v>
      </c>
    </row>
    <row r="274" spans="4:13">
      <c r="D274" s="176">
        <v>223</v>
      </c>
      <c r="E274" s="176">
        <f ca="1">OFFSET(养成框架!$R$63,MATCH(D274,养成框架!$D$64:$D$96,1),0)</f>
        <v>0.178571428571429</v>
      </c>
      <c r="F274" s="176">
        <f ca="1" t="shared" si="16"/>
        <v>121.285714285715</v>
      </c>
      <c r="G274" s="197">
        <f ca="1" t="shared" si="15"/>
        <v>121</v>
      </c>
      <c r="H274" s="19">
        <f ca="1" t="shared" si="17"/>
        <v>30</v>
      </c>
      <c r="I274" s="19">
        <v>101</v>
      </c>
      <c r="J274" s="17">
        <f ca="1" t="shared" si="18"/>
        <v>30</v>
      </c>
      <c r="M274" s="19">
        <v>30</v>
      </c>
    </row>
    <row r="275" spans="4:13">
      <c r="D275" s="176">
        <v>224</v>
      </c>
      <c r="E275" s="176">
        <f ca="1">OFFSET(养成框架!$R$63,MATCH(D275,养成框架!$D$64:$D$96,1),0)</f>
        <v>0.178571428571429</v>
      </c>
      <c r="F275" s="176">
        <f ca="1" t="shared" si="16"/>
        <v>121.464285714286</v>
      </c>
      <c r="G275" s="197">
        <f ca="1" t="shared" si="15"/>
        <v>121</v>
      </c>
      <c r="H275" s="19">
        <f ca="1" t="shared" si="17"/>
        <v>30</v>
      </c>
      <c r="I275" s="19">
        <v>101</v>
      </c>
      <c r="J275" s="17">
        <f ca="1" t="shared" si="18"/>
        <v>30</v>
      </c>
      <c r="M275" s="19">
        <v>30</v>
      </c>
    </row>
    <row r="276" spans="4:13">
      <c r="D276" s="176">
        <v>225</v>
      </c>
      <c r="E276" s="176">
        <f ca="1">OFFSET(养成框架!$R$63,MATCH(D276,养成框架!$D$64:$D$96,1),0)</f>
        <v>0.178571428571429</v>
      </c>
      <c r="F276" s="176">
        <f ca="1" t="shared" si="16"/>
        <v>121.642857142857</v>
      </c>
      <c r="G276" s="197">
        <f ca="1" t="shared" si="15"/>
        <v>121</v>
      </c>
      <c r="H276" s="19">
        <f ca="1" t="shared" si="17"/>
        <v>30</v>
      </c>
      <c r="I276" s="19">
        <v>102</v>
      </c>
      <c r="J276" s="17">
        <f ca="1" t="shared" si="18"/>
        <v>30</v>
      </c>
      <c r="M276" s="19">
        <v>30</v>
      </c>
    </row>
    <row r="277" spans="4:13">
      <c r="D277" s="176">
        <v>226</v>
      </c>
      <c r="E277" s="176">
        <f ca="1">OFFSET(养成框架!$R$63,MATCH(D277,养成框架!$D$64:$D$96,1),0)</f>
        <v>0.178571428571429</v>
      </c>
      <c r="F277" s="176">
        <f ca="1" t="shared" si="16"/>
        <v>121.821428571429</v>
      </c>
      <c r="G277" s="197">
        <f ca="1" t="shared" si="15"/>
        <v>121</v>
      </c>
      <c r="H277" s="19">
        <f ca="1" t="shared" si="17"/>
        <v>30</v>
      </c>
      <c r="I277" s="19">
        <v>102</v>
      </c>
      <c r="J277" s="17">
        <f ca="1" t="shared" si="18"/>
        <v>30</v>
      </c>
      <c r="M277" s="19">
        <v>30</v>
      </c>
    </row>
    <row r="278" spans="4:13">
      <c r="D278" s="176">
        <v>227</v>
      </c>
      <c r="E278" s="176">
        <f ca="1">OFFSET(养成框架!$R$63,MATCH(D278,养成框架!$D$64:$D$96,1),0)</f>
        <v>0.178571428571429</v>
      </c>
      <c r="F278" s="176">
        <f ca="1" t="shared" si="16"/>
        <v>122</v>
      </c>
      <c r="G278" s="197">
        <f ca="1" t="shared" si="15"/>
        <v>122</v>
      </c>
      <c r="H278" s="19">
        <f ca="1" t="shared" si="17"/>
        <v>30</v>
      </c>
      <c r="I278" s="19">
        <v>102</v>
      </c>
      <c r="J278" s="17">
        <f ca="1" t="shared" si="18"/>
        <v>30</v>
      </c>
      <c r="M278" s="19">
        <v>30</v>
      </c>
    </row>
    <row r="279" spans="4:13">
      <c r="D279" s="176">
        <v>228</v>
      </c>
      <c r="E279" s="176">
        <f ca="1">OFFSET(养成框架!$R$63,MATCH(D279,养成框架!$D$64:$D$96,1),0)</f>
        <v>0.178571428571429</v>
      </c>
      <c r="F279" s="176">
        <f ca="1" t="shared" si="16"/>
        <v>122.178571428572</v>
      </c>
      <c r="G279" s="197">
        <f ca="1" t="shared" si="15"/>
        <v>122</v>
      </c>
      <c r="H279" s="19">
        <f ca="1" t="shared" si="17"/>
        <v>30</v>
      </c>
      <c r="I279" s="19">
        <v>102</v>
      </c>
      <c r="J279" s="17">
        <f ca="1" t="shared" si="18"/>
        <v>30</v>
      </c>
      <c r="M279" s="19">
        <v>30</v>
      </c>
    </row>
    <row r="280" spans="4:13">
      <c r="D280" s="176">
        <v>229</v>
      </c>
      <c r="E280" s="176">
        <f ca="1">OFFSET(养成框架!$R$63,MATCH(D280,养成框架!$D$64:$D$96,1),0)</f>
        <v>0.178571428571429</v>
      </c>
      <c r="F280" s="176">
        <f ca="1" t="shared" si="16"/>
        <v>122.357142857143</v>
      </c>
      <c r="G280" s="197">
        <f ca="1" t="shared" si="15"/>
        <v>122</v>
      </c>
      <c r="H280" s="19">
        <f ca="1" t="shared" si="17"/>
        <v>30</v>
      </c>
      <c r="I280" s="19">
        <v>102</v>
      </c>
      <c r="J280" s="17">
        <f ca="1" t="shared" si="18"/>
        <v>30</v>
      </c>
      <c r="M280" s="19">
        <v>30</v>
      </c>
    </row>
    <row r="281" spans="4:13">
      <c r="D281" s="176">
        <v>230</v>
      </c>
      <c r="E281" s="176">
        <f ca="1">OFFSET(养成框架!$R$63,MATCH(D281,养成框架!$D$64:$D$96,1),0)</f>
        <v>0.178571428571429</v>
      </c>
      <c r="F281" s="176">
        <f ca="1" t="shared" si="16"/>
        <v>122.535714285715</v>
      </c>
      <c r="G281" s="197">
        <f ca="1" t="shared" si="15"/>
        <v>122</v>
      </c>
      <c r="H281" s="19">
        <f ca="1" t="shared" si="17"/>
        <v>30</v>
      </c>
      <c r="I281" s="19">
        <v>102</v>
      </c>
      <c r="J281" s="17">
        <f ca="1" t="shared" si="18"/>
        <v>30</v>
      </c>
      <c r="M281" s="19">
        <v>30</v>
      </c>
    </row>
    <row r="282" spans="4:13">
      <c r="D282" s="176">
        <v>231</v>
      </c>
      <c r="E282" s="176">
        <f ca="1">OFFSET(养成框架!$R$63,MATCH(D282,养成框架!$D$64:$D$96,1),0)</f>
        <v>0.178571428571429</v>
      </c>
      <c r="F282" s="176">
        <f ca="1" t="shared" si="16"/>
        <v>122.714285714286</v>
      </c>
      <c r="G282" s="197">
        <f ca="1" t="shared" si="15"/>
        <v>122</v>
      </c>
      <c r="H282" s="19">
        <f ca="1" t="shared" si="17"/>
        <v>30</v>
      </c>
      <c r="I282" s="19">
        <v>102</v>
      </c>
      <c r="J282" s="17">
        <f ca="1" t="shared" si="18"/>
        <v>30</v>
      </c>
      <c r="M282" s="19">
        <v>30</v>
      </c>
    </row>
    <row r="283" spans="4:13">
      <c r="D283" s="176">
        <v>232</v>
      </c>
      <c r="E283" s="176">
        <f ca="1">OFFSET(养成框架!$R$63,MATCH(D283,养成框架!$D$64:$D$96,1),0)</f>
        <v>0.178571428571429</v>
      </c>
      <c r="F283" s="176">
        <f ca="1" t="shared" si="16"/>
        <v>122.892857142857</v>
      </c>
      <c r="G283" s="197">
        <f ca="1" t="shared" si="15"/>
        <v>122</v>
      </c>
      <c r="H283" s="19">
        <f ca="1" t="shared" si="17"/>
        <v>30</v>
      </c>
      <c r="I283" s="19">
        <v>103</v>
      </c>
      <c r="J283" s="17">
        <f ca="1" t="shared" si="18"/>
        <v>30</v>
      </c>
      <c r="M283" s="19">
        <v>30</v>
      </c>
    </row>
    <row r="284" spans="4:13">
      <c r="D284" s="176">
        <v>233</v>
      </c>
      <c r="E284" s="176">
        <f ca="1">OFFSET(养成框架!$R$63,MATCH(D284,养成框架!$D$64:$D$96,1),0)</f>
        <v>0.178571428571429</v>
      </c>
      <c r="F284" s="176">
        <f ca="1" t="shared" si="16"/>
        <v>123.071428571429</v>
      </c>
      <c r="G284" s="197">
        <f ca="1" t="shared" si="15"/>
        <v>123</v>
      </c>
      <c r="H284" s="19">
        <f ca="1" t="shared" si="17"/>
        <v>30</v>
      </c>
      <c r="I284" s="19">
        <v>103</v>
      </c>
      <c r="J284" s="17">
        <f ca="1" t="shared" si="18"/>
        <v>30</v>
      </c>
      <c r="M284" s="19">
        <v>30</v>
      </c>
    </row>
    <row r="285" spans="4:13">
      <c r="D285" s="176">
        <v>234</v>
      </c>
      <c r="E285" s="176">
        <f ca="1">OFFSET(养成框架!$R$63,MATCH(D285,养成框架!$D$64:$D$96,1),0)</f>
        <v>0.178571428571429</v>
      </c>
      <c r="F285" s="176">
        <f ca="1" t="shared" si="16"/>
        <v>123.25</v>
      </c>
      <c r="G285" s="197">
        <f ca="1" t="shared" si="15"/>
        <v>123</v>
      </c>
      <c r="H285" s="19">
        <f ca="1" t="shared" si="17"/>
        <v>30</v>
      </c>
      <c r="I285" s="19">
        <v>103</v>
      </c>
      <c r="J285" s="17">
        <f ca="1" t="shared" si="18"/>
        <v>30</v>
      </c>
      <c r="M285" s="19">
        <v>30</v>
      </c>
    </row>
    <row r="286" spans="4:13">
      <c r="D286" s="176">
        <v>235</v>
      </c>
      <c r="E286" s="176">
        <f ca="1">OFFSET(养成框架!$R$63,MATCH(D286,养成框架!$D$64:$D$96,1),0)</f>
        <v>0.178571428571429</v>
      </c>
      <c r="F286" s="176">
        <f ca="1" t="shared" si="16"/>
        <v>123.428571428572</v>
      </c>
      <c r="G286" s="197">
        <f ca="1" t="shared" si="15"/>
        <v>123</v>
      </c>
      <c r="H286" s="19">
        <f ca="1" t="shared" si="17"/>
        <v>30</v>
      </c>
      <c r="I286" s="19">
        <v>103</v>
      </c>
      <c r="J286" s="17">
        <f ca="1" t="shared" si="18"/>
        <v>30</v>
      </c>
      <c r="M286" s="19">
        <v>30</v>
      </c>
    </row>
    <row r="287" spans="4:13">
      <c r="D287" s="176">
        <v>236</v>
      </c>
      <c r="E287" s="176">
        <f ca="1">OFFSET(养成框架!$R$63,MATCH(D287,养成框架!$D$64:$D$96,1),0)</f>
        <v>0.178571428571429</v>
      </c>
      <c r="F287" s="176">
        <f ca="1" t="shared" si="16"/>
        <v>123.607142857143</v>
      </c>
      <c r="G287" s="197">
        <f ca="1" t="shared" si="15"/>
        <v>123</v>
      </c>
      <c r="H287" s="19">
        <f ca="1" t="shared" si="17"/>
        <v>30</v>
      </c>
      <c r="I287" s="19">
        <v>103</v>
      </c>
      <c r="J287" s="17">
        <f ca="1" t="shared" si="18"/>
        <v>30</v>
      </c>
      <c r="M287" s="19">
        <v>30</v>
      </c>
    </row>
    <row r="288" spans="4:13">
      <c r="D288" s="176">
        <v>237</v>
      </c>
      <c r="E288" s="176">
        <f ca="1">OFFSET(养成框架!$R$63,MATCH(D288,养成框架!$D$64:$D$96,1),0)</f>
        <v>0.178571428571429</v>
      </c>
      <c r="F288" s="176">
        <f ca="1" t="shared" si="16"/>
        <v>123.785714285715</v>
      </c>
      <c r="G288" s="197">
        <f ca="1" t="shared" si="15"/>
        <v>123</v>
      </c>
      <c r="H288" s="19">
        <f ca="1" t="shared" si="17"/>
        <v>30</v>
      </c>
      <c r="I288" s="19">
        <v>103</v>
      </c>
      <c r="J288" s="17">
        <f ca="1" t="shared" si="18"/>
        <v>30</v>
      </c>
      <c r="M288" s="19">
        <v>30</v>
      </c>
    </row>
    <row r="289" spans="4:13">
      <c r="D289" s="176">
        <v>238</v>
      </c>
      <c r="E289" s="176">
        <f ca="1">OFFSET(养成框架!$R$63,MATCH(D289,养成框架!$D$64:$D$96,1),0)</f>
        <v>0.178571428571429</v>
      </c>
      <c r="F289" s="176">
        <f ca="1" t="shared" si="16"/>
        <v>123.964285714286</v>
      </c>
      <c r="G289" s="197">
        <f ca="1" t="shared" si="15"/>
        <v>123</v>
      </c>
      <c r="H289" s="19">
        <f ca="1" t="shared" si="17"/>
        <v>30</v>
      </c>
      <c r="I289" s="19">
        <v>103</v>
      </c>
      <c r="J289" s="17">
        <f ca="1" t="shared" si="18"/>
        <v>30</v>
      </c>
      <c r="M289" s="19">
        <v>30</v>
      </c>
    </row>
    <row r="290" spans="4:13">
      <c r="D290" s="176">
        <v>239</v>
      </c>
      <c r="E290" s="176">
        <f ca="1">OFFSET(养成框架!$R$63,MATCH(D290,养成框架!$D$64:$D$96,1),0)</f>
        <v>0.178571428571429</v>
      </c>
      <c r="F290" s="176">
        <f ca="1" t="shared" si="16"/>
        <v>124.142857142857</v>
      </c>
      <c r="G290" s="197">
        <f ca="1" t="shared" si="15"/>
        <v>124</v>
      </c>
      <c r="H290" s="19">
        <f ca="1" t="shared" si="17"/>
        <v>30</v>
      </c>
      <c r="I290" s="19">
        <v>103</v>
      </c>
      <c r="J290" s="17">
        <f ca="1" t="shared" si="18"/>
        <v>30</v>
      </c>
      <c r="M290" s="19">
        <v>30</v>
      </c>
    </row>
    <row r="291" spans="4:13">
      <c r="D291" s="176">
        <v>240</v>
      </c>
      <c r="E291" s="176">
        <f ca="1">OFFSET(养成框架!$R$63,MATCH(D291,养成框架!$D$64:$D$96,1),0)</f>
        <v>0.178571428571429</v>
      </c>
      <c r="F291" s="176">
        <f ca="1" t="shared" si="16"/>
        <v>124.321428571429</v>
      </c>
      <c r="G291" s="197">
        <f ca="1" t="shared" si="15"/>
        <v>124</v>
      </c>
      <c r="H291" s="19">
        <f ca="1" t="shared" si="17"/>
        <v>30</v>
      </c>
      <c r="I291" s="19">
        <v>103</v>
      </c>
      <c r="J291" s="17">
        <f ca="1" t="shared" si="18"/>
        <v>30</v>
      </c>
      <c r="M291" s="19">
        <v>30</v>
      </c>
    </row>
    <row r="292" spans="4:13">
      <c r="D292" s="176">
        <v>241</v>
      </c>
      <c r="E292" s="176">
        <f ca="1">OFFSET(养成框架!$R$63,MATCH(D292,养成框架!$D$64:$D$96,1),0)</f>
        <v>0.178571428571429</v>
      </c>
      <c r="F292" s="176">
        <f ca="1" t="shared" si="16"/>
        <v>124.5</v>
      </c>
      <c r="G292" s="197">
        <f ca="1" t="shared" si="15"/>
        <v>124</v>
      </c>
      <c r="H292" s="19">
        <f ca="1" t="shared" si="17"/>
        <v>30</v>
      </c>
      <c r="I292" s="19">
        <v>103</v>
      </c>
      <c r="J292" s="17">
        <f ca="1" t="shared" si="18"/>
        <v>30</v>
      </c>
      <c r="M292" s="19">
        <v>30</v>
      </c>
    </row>
    <row r="293" spans="4:13">
      <c r="D293" s="176">
        <v>242</v>
      </c>
      <c r="E293" s="176">
        <f ca="1">OFFSET(养成框架!$R$63,MATCH(D293,养成框架!$D$64:$D$96,1),0)</f>
        <v>0.178571428571429</v>
      </c>
      <c r="F293" s="176">
        <f ca="1" t="shared" si="16"/>
        <v>124.678571428572</v>
      </c>
      <c r="G293" s="197">
        <f ca="1" t="shared" si="15"/>
        <v>124</v>
      </c>
      <c r="H293" s="19">
        <f ca="1" t="shared" si="17"/>
        <v>30</v>
      </c>
      <c r="I293" s="19">
        <v>103</v>
      </c>
      <c r="J293" s="17">
        <f ca="1" t="shared" si="18"/>
        <v>30</v>
      </c>
      <c r="M293" s="19">
        <v>30</v>
      </c>
    </row>
    <row r="294" spans="4:13">
      <c r="D294" s="176">
        <v>243</v>
      </c>
      <c r="E294" s="176">
        <f ca="1">OFFSET(养成框架!$R$63,MATCH(D294,养成框架!$D$64:$D$96,1),0)</f>
        <v>0.178571428571429</v>
      </c>
      <c r="F294" s="176">
        <f ca="1" t="shared" si="16"/>
        <v>124.857142857143</v>
      </c>
      <c r="G294" s="197">
        <f ca="1" t="shared" si="15"/>
        <v>124</v>
      </c>
      <c r="H294" s="19">
        <f ca="1" t="shared" si="17"/>
        <v>30</v>
      </c>
      <c r="I294" s="19">
        <v>103</v>
      </c>
      <c r="J294" s="17">
        <f ca="1" t="shared" si="18"/>
        <v>30</v>
      </c>
      <c r="M294" s="19">
        <v>30</v>
      </c>
    </row>
    <row r="295" spans="4:13">
      <c r="D295" s="176">
        <v>244</v>
      </c>
      <c r="E295" s="176">
        <f ca="1">OFFSET(养成框架!$R$63,MATCH(D295,养成框架!$D$64:$D$96,1),0)</f>
        <v>0.178571428571429</v>
      </c>
      <c r="F295" s="176">
        <f ca="1" t="shared" si="16"/>
        <v>125.035714285715</v>
      </c>
      <c r="G295" s="197">
        <f ca="1" t="shared" si="15"/>
        <v>125</v>
      </c>
      <c r="H295" s="19">
        <f ca="1" t="shared" si="17"/>
        <v>30</v>
      </c>
      <c r="I295" s="19">
        <v>104</v>
      </c>
      <c r="J295" s="17">
        <f ca="1" t="shared" si="18"/>
        <v>30</v>
      </c>
      <c r="M295" s="19">
        <v>30</v>
      </c>
    </row>
    <row r="296" spans="4:13">
      <c r="D296" s="176">
        <v>245</v>
      </c>
      <c r="E296" s="176">
        <f ca="1">OFFSET(养成框架!$R$63,MATCH(D296,养成框架!$D$64:$D$96,1),0)</f>
        <v>0.178571428571429</v>
      </c>
      <c r="F296" s="176">
        <f ca="1" t="shared" si="16"/>
        <v>125.214285714286</v>
      </c>
      <c r="G296" s="197">
        <f ca="1" t="shared" si="15"/>
        <v>125</v>
      </c>
      <c r="H296" s="19">
        <f ca="1" t="shared" si="17"/>
        <v>30</v>
      </c>
      <c r="I296" s="19">
        <v>104</v>
      </c>
      <c r="J296" s="17">
        <f ca="1" t="shared" si="18"/>
        <v>30</v>
      </c>
      <c r="M296" s="19">
        <v>30</v>
      </c>
    </row>
    <row r="297" spans="4:13">
      <c r="D297" s="176">
        <v>246</v>
      </c>
      <c r="E297" s="176">
        <f ca="1">OFFSET(养成框架!$R$63,MATCH(D297,养成框架!$D$64:$D$96,1),0)</f>
        <v>0.178571428571429</v>
      </c>
      <c r="F297" s="176">
        <f ca="1" t="shared" si="16"/>
        <v>125.392857142857</v>
      </c>
      <c r="G297" s="197">
        <f ca="1" t="shared" si="15"/>
        <v>125</v>
      </c>
      <c r="H297" s="19">
        <f ca="1" t="shared" si="17"/>
        <v>30</v>
      </c>
      <c r="I297" s="19">
        <v>104</v>
      </c>
      <c r="J297" s="17">
        <f ca="1" t="shared" si="18"/>
        <v>30</v>
      </c>
      <c r="M297" s="19">
        <v>30</v>
      </c>
    </row>
    <row r="298" spans="4:13">
      <c r="D298" s="176">
        <v>247</v>
      </c>
      <c r="E298" s="176">
        <f ca="1">OFFSET(养成框架!$R$63,MATCH(D298,养成框架!$D$64:$D$96,1),0)</f>
        <v>0.178571428571429</v>
      </c>
      <c r="F298" s="176">
        <f ca="1" t="shared" si="16"/>
        <v>125.571428571429</v>
      </c>
      <c r="G298" s="197">
        <f ca="1" t="shared" si="15"/>
        <v>125</v>
      </c>
      <c r="H298" s="19">
        <f ca="1" t="shared" si="17"/>
        <v>30</v>
      </c>
      <c r="I298" s="19">
        <v>104</v>
      </c>
      <c r="J298" s="17">
        <f ca="1" t="shared" si="18"/>
        <v>30</v>
      </c>
      <c r="M298" s="19">
        <v>30</v>
      </c>
    </row>
    <row r="299" spans="4:13">
      <c r="D299" s="176">
        <v>248</v>
      </c>
      <c r="E299" s="176">
        <f ca="1">OFFSET(养成框架!$R$63,MATCH(D299,养成框架!$D$64:$D$96,1),0)</f>
        <v>0.178571428571429</v>
      </c>
      <c r="F299" s="176">
        <f ca="1" t="shared" si="16"/>
        <v>125.75</v>
      </c>
      <c r="G299" s="197">
        <f ca="1" t="shared" si="15"/>
        <v>125</v>
      </c>
      <c r="H299" s="19">
        <f ca="1" t="shared" si="17"/>
        <v>30</v>
      </c>
      <c r="I299" s="19">
        <v>104</v>
      </c>
      <c r="J299" s="17">
        <f ca="1" t="shared" si="18"/>
        <v>30</v>
      </c>
      <c r="M299" s="19">
        <v>30</v>
      </c>
    </row>
    <row r="300" spans="4:13">
      <c r="D300" s="176">
        <v>249</v>
      </c>
      <c r="E300" s="176">
        <f ca="1">OFFSET(养成框架!$R$63,MATCH(D300,养成框架!$D$64:$D$96,1),0)</f>
        <v>0.178571428571429</v>
      </c>
      <c r="F300" s="176">
        <f ca="1" t="shared" si="16"/>
        <v>125.928571428572</v>
      </c>
      <c r="G300" s="197">
        <f ca="1" t="shared" si="15"/>
        <v>125</v>
      </c>
      <c r="H300" s="19">
        <f ca="1" t="shared" si="17"/>
        <v>30</v>
      </c>
      <c r="I300" s="19">
        <v>104</v>
      </c>
      <c r="J300" s="17">
        <f ca="1" t="shared" si="18"/>
        <v>30</v>
      </c>
      <c r="M300" s="19">
        <v>30</v>
      </c>
    </row>
    <row r="301" spans="4:13">
      <c r="D301" s="176">
        <v>250</v>
      </c>
      <c r="E301" s="176">
        <f ca="1">OFFSET(养成框架!$R$63,MATCH(D301,养成框架!$D$64:$D$96,1),0)</f>
        <v>0.178571428571429</v>
      </c>
      <c r="F301" s="176">
        <f ca="1" t="shared" si="16"/>
        <v>126.107142857143</v>
      </c>
      <c r="G301" s="197">
        <f ca="1" t="shared" si="15"/>
        <v>126</v>
      </c>
      <c r="H301" s="19">
        <f ca="1" t="shared" si="17"/>
        <v>30</v>
      </c>
      <c r="I301" s="19">
        <v>104</v>
      </c>
      <c r="J301" s="17">
        <f ca="1" t="shared" si="18"/>
        <v>30</v>
      </c>
      <c r="M301" s="19">
        <v>30</v>
      </c>
    </row>
    <row r="302" spans="4:13">
      <c r="D302" s="176">
        <v>251</v>
      </c>
      <c r="E302" s="176">
        <f ca="1">OFFSET(养成框架!$R$63,MATCH(D302,养成框架!$D$64:$D$96,1),0)</f>
        <v>0.178571428571429</v>
      </c>
      <c r="F302" s="176">
        <f ca="1" t="shared" si="16"/>
        <v>126.285714285715</v>
      </c>
      <c r="G302" s="197">
        <f ca="1" t="shared" si="15"/>
        <v>126</v>
      </c>
      <c r="H302" s="19">
        <f ca="1" t="shared" si="17"/>
        <v>30</v>
      </c>
      <c r="I302" s="19">
        <v>104</v>
      </c>
      <c r="J302" s="17">
        <f ca="1" t="shared" si="18"/>
        <v>30</v>
      </c>
      <c r="M302" s="19">
        <v>30</v>
      </c>
    </row>
    <row r="303" spans="4:13">
      <c r="D303" s="176">
        <v>252</v>
      </c>
      <c r="E303" s="176">
        <f ca="1">OFFSET(养成框架!$R$63,MATCH(D303,养成框架!$D$64:$D$96,1),0)</f>
        <v>0.178571428571429</v>
      </c>
      <c r="F303" s="176">
        <f ca="1" t="shared" si="16"/>
        <v>126.464285714286</v>
      </c>
      <c r="G303" s="197">
        <f ca="1" t="shared" si="15"/>
        <v>126</v>
      </c>
      <c r="H303" s="19">
        <f ca="1" t="shared" si="17"/>
        <v>30</v>
      </c>
      <c r="I303" s="19">
        <v>104</v>
      </c>
      <c r="J303" s="17">
        <f ca="1" t="shared" si="18"/>
        <v>30</v>
      </c>
      <c r="M303" s="19">
        <v>30</v>
      </c>
    </row>
    <row r="304" spans="4:13">
      <c r="D304" s="176">
        <v>253</v>
      </c>
      <c r="E304" s="176">
        <f ca="1">OFFSET(养成框架!$R$63,MATCH(D304,养成框架!$D$64:$D$96,1),0)</f>
        <v>0.178571428571429</v>
      </c>
      <c r="F304" s="176">
        <f ca="1" t="shared" si="16"/>
        <v>126.642857142858</v>
      </c>
      <c r="G304" s="197">
        <f ca="1" t="shared" si="15"/>
        <v>126</v>
      </c>
      <c r="H304" s="19">
        <f ca="1" t="shared" si="17"/>
        <v>30</v>
      </c>
      <c r="I304" s="19">
        <v>104</v>
      </c>
      <c r="J304" s="17">
        <f ca="1" t="shared" si="18"/>
        <v>30</v>
      </c>
      <c r="M304" s="19">
        <v>30</v>
      </c>
    </row>
    <row r="305" spans="4:13">
      <c r="D305" s="176">
        <v>254</v>
      </c>
      <c r="E305" s="176">
        <f ca="1">OFFSET(养成框架!$R$63,MATCH(D305,养成框架!$D$64:$D$96,1),0)</f>
        <v>0.178571428571429</v>
      </c>
      <c r="F305" s="176">
        <f ca="1" t="shared" si="16"/>
        <v>126.821428571429</v>
      </c>
      <c r="G305" s="197">
        <f ca="1" t="shared" si="15"/>
        <v>126</v>
      </c>
      <c r="H305" s="19">
        <f ca="1" t="shared" si="17"/>
        <v>30</v>
      </c>
      <c r="I305" s="19">
        <v>105</v>
      </c>
      <c r="J305" s="17">
        <f ca="1" t="shared" si="18"/>
        <v>30</v>
      </c>
      <c r="M305" s="19">
        <v>30</v>
      </c>
    </row>
    <row r="306" spans="4:13">
      <c r="D306" s="176">
        <v>255</v>
      </c>
      <c r="E306" s="176">
        <f ca="1">OFFSET(养成框架!$R$63,MATCH(D306,养成框架!$D$64:$D$96,1),0)</f>
        <v>0.178571428571429</v>
      </c>
      <c r="F306" s="176">
        <f ca="1" t="shared" si="16"/>
        <v>127</v>
      </c>
      <c r="G306" s="197">
        <f ca="1" t="shared" si="15"/>
        <v>127</v>
      </c>
      <c r="H306" s="19">
        <f ca="1" t="shared" si="17"/>
        <v>30</v>
      </c>
      <c r="I306" s="19">
        <v>105</v>
      </c>
      <c r="J306" s="17">
        <f ca="1" t="shared" si="18"/>
        <v>30</v>
      </c>
      <c r="M306" s="19">
        <v>30</v>
      </c>
    </row>
    <row r="307" spans="4:13">
      <c r="D307" s="176">
        <v>256</v>
      </c>
      <c r="E307" s="176">
        <f ca="1">OFFSET(养成框架!$R$63,MATCH(D307,养成框架!$D$64:$D$96,1),0)</f>
        <v>0.178571428571429</v>
      </c>
      <c r="F307" s="176">
        <f ca="1" t="shared" si="16"/>
        <v>127.178571428572</v>
      </c>
      <c r="G307" s="197">
        <f ca="1" t="shared" si="15"/>
        <v>127</v>
      </c>
      <c r="H307" s="19">
        <f ca="1" t="shared" si="17"/>
        <v>30</v>
      </c>
      <c r="I307" s="19">
        <v>105</v>
      </c>
      <c r="J307" s="17">
        <f ca="1" t="shared" si="18"/>
        <v>30</v>
      </c>
      <c r="M307" s="19">
        <v>30</v>
      </c>
    </row>
    <row r="308" spans="4:13">
      <c r="D308" s="176">
        <v>257</v>
      </c>
      <c r="E308" s="176">
        <f ca="1">OFFSET(养成框架!$R$63,MATCH(D308,养成框架!$D$64:$D$96,1),0)</f>
        <v>0.178571428571429</v>
      </c>
      <c r="F308" s="176">
        <f ca="1" t="shared" si="16"/>
        <v>127.357142857143</v>
      </c>
      <c r="G308" s="197">
        <f ca="1" t="shared" ref="G308:G371" si="19">INT(F308)</f>
        <v>127</v>
      </c>
      <c r="H308" s="19">
        <f ca="1" t="shared" si="17"/>
        <v>30</v>
      </c>
      <c r="I308" s="19">
        <v>105</v>
      </c>
      <c r="J308" s="17">
        <f ca="1" t="shared" si="18"/>
        <v>30</v>
      </c>
      <c r="M308" s="19">
        <v>30</v>
      </c>
    </row>
    <row r="309" spans="4:13">
      <c r="D309" s="176">
        <v>258</v>
      </c>
      <c r="E309" s="176">
        <f ca="1">OFFSET(养成框架!$R$63,MATCH(D309,养成框架!$D$64:$D$96,1),0)</f>
        <v>0.178571428571429</v>
      </c>
      <c r="F309" s="176">
        <f ca="1" t="shared" ref="F309:F372" si="20">E309+F308</f>
        <v>127.535714285715</v>
      </c>
      <c r="G309" s="197">
        <f ca="1" t="shared" si="19"/>
        <v>127</v>
      </c>
      <c r="H309" s="19">
        <f ca="1" t="shared" ref="H309:H372" si="21">OFFSET($L$51,MATCH(F309,$K$52:$K$81,1),0)</f>
        <v>30</v>
      </c>
      <c r="I309" s="19">
        <v>105</v>
      </c>
      <c r="J309" s="17">
        <f ca="1" t="shared" ref="J309:J372" si="22">OFFSET($L$51,MATCH(I309,$K$52:$K$81,1),0)</f>
        <v>30</v>
      </c>
      <c r="M309" s="19">
        <v>30</v>
      </c>
    </row>
    <row r="310" spans="4:13">
      <c r="D310" s="176">
        <v>259</v>
      </c>
      <c r="E310" s="176">
        <f ca="1">OFFSET(养成框架!$R$63,MATCH(D310,养成框架!$D$64:$D$96,1),0)</f>
        <v>0.178571428571429</v>
      </c>
      <c r="F310" s="176">
        <f ca="1" t="shared" si="20"/>
        <v>127.714285714286</v>
      </c>
      <c r="G310" s="197">
        <f ca="1" t="shared" si="19"/>
        <v>127</v>
      </c>
      <c r="H310" s="19">
        <f ca="1" t="shared" si="21"/>
        <v>30</v>
      </c>
      <c r="I310" s="19">
        <v>105</v>
      </c>
      <c r="J310" s="17">
        <f ca="1" t="shared" si="22"/>
        <v>30</v>
      </c>
      <c r="M310" s="19">
        <v>30</v>
      </c>
    </row>
    <row r="311" spans="4:13">
      <c r="D311" s="176">
        <v>260</v>
      </c>
      <c r="E311" s="176">
        <f ca="1">OFFSET(养成框架!$R$63,MATCH(D311,养成框架!$D$64:$D$96,1),0)</f>
        <v>0.178571428571429</v>
      </c>
      <c r="F311" s="176">
        <f ca="1" t="shared" si="20"/>
        <v>127.892857142858</v>
      </c>
      <c r="G311" s="197">
        <f ca="1" t="shared" si="19"/>
        <v>127</v>
      </c>
      <c r="H311" s="19">
        <f ca="1" t="shared" si="21"/>
        <v>30</v>
      </c>
      <c r="I311" s="19">
        <v>105</v>
      </c>
      <c r="J311" s="17">
        <f ca="1" t="shared" si="22"/>
        <v>30</v>
      </c>
      <c r="M311" s="19">
        <v>30</v>
      </c>
    </row>
    <row r="312" spans="4:13">
      <c r="D312" s="176">
        <v>261</v>
      </c>
      <c r="E312" s="176">
        <f ca="1">OFFSET(养成框架!$R$63,MATCH(D312,养成框架!$D$64:$D$96,1),0)</f>
        <v>0.178571428571429</v>
      </c>
      <c r="F312" s="176">
        <f ca="1" t="shared" si="20"/>
        <v>128.071428571429</v>
      </c>
      <c r="G312" s="197">
        <f ca="1" t="shared" si="19"/>
        <v>128</v>
      </c>
      <c r="H312" s="19">
        <f ca="1" t="shared" si="21"/>
        <v>30</v>
      </c>
      <c r="I312" s="19">
        <v>105</v>
      </c>
      <c r="J312" s="17">
        <f ca="1" t="shared" si="22"/>
        <v>30</v>
      </c>
      <c r="M312" s="19">
        <v>30</v>
      </c>
    </row>
    <row r="313" spans="4:13">
      <c r="D313" s="176">
        <v>262</v>
      </c>
      <c r="E313" s="176">
        <f ca="1">OFFSET(养成框架!$R$63,MATCH(D313,养成框架!$D$64:$D$96,1),0)</f>
        <v>0.178571428571429</v>
      </c>
      <c r="F313" s="176">
        <f ca="1" t="shared" si="20"/>
        <v>128.25</v>
      </c>
      <c r="G313" s="197">
        <f ca="1" t="shared" si="19"/>
        <v>128</v>
      </c>
      <c r="H313" s="19">
        <f ca="1" t="shared" si="21"/>
        <v>30</v>
      </c>
      <c r="I313" s="19">
        <v>105</v>
      </c>
      <c r="J313" s="17">
        <f ca="1" t="shared" si="22"/>
        <v>30</v>
      </c>
      <c r="M313" s="19">
        <v>30</v>
      </c>
    </row>
    <row r="314" spans="4:13">
      <c r="D314" s="176">
        <v>263</v>
      </c>
      <c r="E314" s="176">
        <f ca="1">OFFSET(养成框架!$R$63,MATCH(D314,养成框架!$D$64:$D$96,1),0)</f>
        <v>0.178571428571429</v>
      </c>
      <c r="F314" s="176">
        <f ca="1" t="shared" si="20"/>
        <v>128.428571428572</v>
      </c>
      <c r="G314" s="197">
        <f ca="1" t="shared" si="19"/>
        <v>128</v>
      </c>
      <c r="H314" s="19">
        <f ca="1" t="shared" si="21"/>
        <v>30</v>
      </c>
      <c r="I314" s="19">
        <v>105</v>
      </c>
      <c r="J314" s="17">
        <f ca="1" t="shared" si="22"/>
        <v>30</v>
      </c>
      <c r="M314" s="19">
        <v>30</v>
      </c>
    </row>
    <row r="315" spans="4:13">
      <c r="D315" s="176">
        <v>264</v>
      </c>
      <c r="E315" s="176">
        <f ca="1">OFFSET(养成框架!$R$63,MATCH(D315,养成框架!$D$64:$D$96,1),0)</f>
        <v>0.178571428571429</v>
      </c>
      <c r="F315" s="176">
        <f ca="1" t="shared" si="20"/>
        <v>128.607142857143</v>
      </c>
      <c r="G315" s="197">
        <f ca="1" t="shared" si="19"/>
        <v>128</v>
      </c>
      <c r="H315" s="19">
        <f ca="1" t="shared" si="21"/>
        <v>30</v>
      </c>
      <c r="I315" s="19">
        <v>105</v>
      </c>
      <c r="J315" s="17">
        <f ca="1" t="shared" si="22"/>
        <v>30</v>
      </c>
      <c r="M315" s="19">
        <v>30</v>
      </c>
    </row>
    <row r="316" spans="4:13">
      <c r="D316" s="176">
        <v>265</v>
      </c>
      <c r="E316" s="176">
        <f ca="1">OFFSET(养成框架!$R$63,MATCH(D316,养成框架!$D$64:$D$96,1),0)</f>
        <v>0.178571428571429</v>
      </c>
      <c r="F316" s="176">
        <f ca="1" t="shared" si="20"/>
        <v>128.785714285715</v>
      </c>
      <c r="G316" s="197">
        <f ca="1" t="shared" si="19"/>
        <v>128</v>
      </c>
      <c r="H316" s="19">
        <f ca="1" t="shared" si="21"/>
        <v>30</v>
      </c>
      <c r="I316" s="19">
        <v>106</v>
      </c>
      <c r="J316" s="17">
        <f ca="1" t="shared" si="22"/>
        <v>30</v>
      </c>
      <c r="M316" s="19">
        <v>30</v>
      </c>
    </row>
    <row r="317" spans="4:13">
      <c r="D317" s="176">
        <v>266</v>
      </c>
      <c r="E317" s="176">
        <f ca="1">OFFSET(养成框架!$R$63,MATCH(D317,养成框架!$D$64:$D$96,1),0)</f>
        <v>0.178571428571429</v>
      </c>
      <c r="F317" s="176">
        <f ca="1" t="shared" si="20"/>
        <v>128.964285714286</v>
      </c>
      <c r="G317" s="197">
        <f ca="1" t="shared" si="19"/>
        <v>128</v>
      </c>
      <c r="H317" s="19">
        <f ca="1" t="shared" si="21"/>
        <v>30</v>
      </c>
      <c r="I317" s="19">
        <v>106</v>
      </c>
      <c r="J317" s="17">
        <f ca="1" t="shared" si="22"/>
        <v>30</v>
      </c>
      <c r="M317" s="19">
        <v>30</v>
      </c>
    </row>
    <row r="318" spans="4:13">
      <c r="D318" s="176">
        <v>267</v>
      </c>
      <c r="E318" s="176">
        <f ca="1">OFFSET(养成框架!$R$63,MATCH(D318,养成框架!$D$64:$D$96,1),0)</f>
        <v>0.178571428571429</v>
      </c>
      <c r="F318" s="176">
        <f ca="1" t="shared" si="20"/>
        <v>129.142857142857</v>
      </c>
      <c r="G318" s="197">
        <f ca="1" t="shared" si="19"/>
        <v>129</v>
      </c>
      <c r="H318" s="19">
        <f ca="1" t="shared" si="21"/>
        <v>30</v>
      </c>
      <c r="I318" s="19">
        <v>106</v>
      </c>
      <c r="J318" s="17">
        <f ca="1" t="shared" si="22"/>
        <v>30</v>
      </c>
      <c r="M318" s="19">
        <v>30</v>
      </c>
    </row>
    <row r="319" spans="4:13">
      <c r="D319" s="176">
        <v>268</v>
      </c>
      <c r="E319" s="176">
        <f ca="1">OFFSET(养成框架!$R$63,MATCH(D319,养成框架!$D$64:$D$96,1),0)</f>
        <v>0.178571428571429</v>
      </c>
      <c r="F319" s="176">
        <f ca="1" t="shared" si="20"/>
        <v>129.321428571429</v>
      </c>
      <c r="G319" s="197">
        <f ca="1" t="shared" si="19"/>
        <v>129</v>
      </c>
      <c r="H319" s="19">
        <f ca="1" t="shared" si="21"/>
        <v>30</v>
      </c>
      <c r="I319" s="19">
        <v>106</v>
      </c>
      <c r="J319" s="17">
        <f ca="1" t="shared" si="22"/>
        <v>30</v>
      </c>
      <c r="M319" s="19">
        <v>30</v>
      </c>
    </row>
    <row r="320" spans="4:13">
      <c r="D320" s="176">
        <v>269</v>
      </c>
      <c r="E320" s="176">
        <f ca="1">OFFSET(养成框架!$R$63,MATCH(D320,养成框架!$D$64:$D$96,1),0)</f>
        <v>0.178571428571429</v>
      </c>
      <c r="F320" s="176">
        <f ca="1" t="shared" si="20"/>
        <v>129.5</v>
      </c>
      <c r="G320" s="197">
        <f ca="1" t="shared" si="19"/>
        <v>129</v>
      </c>
      <c r="H320" s="19">
        <f ca="1" t="shared" si="21"/>
        <v>30</v>
      </c>
      <c r="I320" s="19">
        <v>106</v>
      </c>
      <c r="J320" s="17">
        <f ca="1" t="shared" si="22"/>
        <v>30</v>
      </c>
      <c r="M320" s="19">
        <v>30</v>
      </c>
    </row>
    <row r="321" spans="4:13">
      <c r="D321" s="176">
        <v>270</v>
      </c>
      <c r="E321" s="176">
        <f ca="1">OFFSET(养成框架!$R$63,MATCH(D321,养成框架!$D$64:$D$96,1),0)</f>
        <v>0.178571428571429</v>
      </c>
      <c r="F321" s="176">
        <f ca="1" t="shared" si="20"/>
        <v>129.678571428572</v>
      </c>
      <c r="G321" s="197">
        <f ca="1" t="shared" si="19"/>
        <v>129</v>
      </c>
      <c r="H321" s="19">
        <f ca="1" t="shared" si="21"/>
        <v>30</v>
      </c>
      <c r="I321" s="19">
        <v>106</v>
      </c>
      <c r="J321" s="17">
        <f ca="1" t="shared" si="22"/>
        <v>30</v>
      </c>
      <c r="M321" s="19">
        <v>30</v>
      </c>
    </row>
    <row r="322" spans="4:13">
      <c r="D322" s="176">
        <v>271</v>
      </c>
      <c r="E322" s="176">
        <f ca="1">OFFSET(养成框架!$R$63,MATCH(D322,养成框架!$D$64:$D$96,1),0)</f>
        <v>0.178571428571429</v>
      </c>
      <c r="F322" s="176">
        <f ca="1" t="shared" si="20"/>
        <v>129.857142857143</v>
      </c>
      <c r="G322" s="197">
        <f ca="1" t="shared" si="19"/>
        <v>129</v>
      </c>
      <c r="H322" s="19">
        <f ca="1" t="shared" si="21"/>
        <v>30</v>
      </c>
      <c r="I322" s="19">
        <v>106</v>
      </c>
      <c r="J322" s="17">
        <f ca="1" t="shared" si="22"/>
        <v>30</v>
      </c>
      <c r="M322" s="19">
        <v>30</v>
      </c>
    </row>
    <row r="323" spans="4:13">
      <c r="D323" s="176">
        <v>272</v>
      </c>
      <c r="E323" s="176">
        <f ca="1">OFFSET(养成框架!$R$63,MATCH(D323,养成框架!$D$64:$D$96,1),0)</f>
        <v>0.178571428571429</v>
      </c>
      <c r="F323" s="176">
        <f ca="1" t="shared" si="20"/>
        <v>130.035714285715</v>
      </c>
      <c r="G323" s="197">
        <f ca="1" t="shared" si="19"/>
        <v>130</v>
      </c>
      <c r="H323" s="19">
        <f ca="1" t="shared" si="21"/>
        <v>30</v>
      </c>
      <c r="I323" s="19">
        <v>106</v>
      </c>
      <c r="J323" s="17">
        <f ca="1" t="shared" si="22"/>
        <v>30</v>
      </c>
      <c r="M323" s="19">
        <v>30</v>
      </c>
    </row>
    <row r="324" spans="4:13">
      <c r="D324" s="176">
        <v>273</v>
      </c>
      <c r="E324" s="176">
        <f ca="1">OFFSET(养成框架!$R$63,MATCH(D324,养成框架!$D$64:$D$96,1),0)</f>
        <v>0.178571428571429</v>
      </c>
      <c r="F324" s="176">
        <f ca="1" t="shared" si="20"/>
        <v>130.214285714286</v>
      </c>
      <c r="G324" s="197">
        <f ca="1" t="shared" si="19"/>
        <v>130</v>
      </c>
      <c r="H324" s="19">
        <f ca="1" t="shared" si="21"/>
        <v>30</v>
      </c>
      <c r="I324" s="19">
        <v>106</v>
      </c>
      <c r="J324" s="17">
        <f ca="1" t="shared" si="22"/>
        <v>30</v>
      </c>
      <c r="M324" s="19">
        <v>30</v>
      </c>
    </row>
    <row r="325" spans="4:13">
      <c r="D325" s="176">
        <v>274</v>
      </c>
      <c r="E325" s="176">
        <f ca="1">OFFSET(养成框架!$R$63,MATCH(D325,养成框架!$D$64:$D$96,1),0)</f>
        <v>0.178571428571429</v>
      </c>
      <c r="F325" s="176">
        <f ca="1" t="shared" si="20"/>
        <v>130.392857142857</v>
      </c>
      <c r="G325" s="197">
        <f ca="1" t="shared" si="19"/>
        <v>130</v>
      </c>
      <c r="H325" s="19">
        <f ca="1" t="shared" si="21"/>
        <v>30</v>
      </c>
      <c r="I325" s="19">
        <v>106</v>
      </c>
      <c r="J325" s="17">
        <f ca="1" t="shared" si="22"/>
        <v>30</v>
      </c>
      <c r="M325" s="19">
        <v>30</v>
      </c>
    </row>
    <row r="326" spans="4:13">
      <c r="D326" s="176">
        <v>275</v>
      </c>
      <c r="E326" s="176">
        <f ca="1">OFFSET(养成框架!$R$63,MATCH(D326,养成框架!$D$64:$D$96,1),0)</f>
        <v>0.178571428571429</v>
      </c>
      <c r="F326" s="176">
        <f ca="1" t="shared" si="20"/>
        <v>130.571428571429</v>
      </c>
      <c r="G326" s="197">
        <f ca="1" t="shared" si="19"/>
        <v>130</v>
      </c>
      <c r="H326" s="19">
        <f ca="1" t="shared" si="21"/>
        <v>30</v>
      </c>
      <c r="I326" s="19">
        <v>107</v>
      </c>
      <c r="J326" s="17">
        <f ca="1" t="shared" si="22"/>
        <v>30</v>
      </c>
      <c r="M326" s="19">
        <v>30</v>
      </c>
    </row>
    <row r="327" spans="4:13">
      <c r="D327" s="176">
        <v>276</v>
      </c>
      <c r="E327" s="176">
        <f ca="1">OFFSET(养成框架!$R$63,MATCH(D327,养成框架!$D$64:$D$96,1),0)</f>
        <v>0.178571428571429</v>
      </c>
      <c r="F327" s="176">
        <f ca="1" t="shared" si="20"/>
        <v>130.75</v>
      </c>
      <c r="G327" s="197">
        <f ca="1" t="shared" si="19"/>
        <v>130</v>
      </c>
      <c r="H327" s="19">
        <f ca="1" t="shared" si="21"/>
        <v>30</v>
      </c>
      <c r="I327" s="19">
        <v>107</v>
      </c>
      <c r="J327" s="17">
        <f ca="1" t="shared" si="22"/>
        <v>30</v>
      </c>
      <c r="M327" s="19">
        <v>30</v>
      </c>
    </row>
    <row r="328" spans="4:13">
      <c r="D328" s="176">
        <v>277</v>
      </c>
      <c r="E328" s="176">
        <f ca="1">OFFSET(养成框架!$R$63,MATCH(D328,养成框架!$D$64:$D$96,1),0)</f>
        <v>0.178571428571429</v>
      </c>
      <c r="F328" s="176">
        <f ca="1" t="shared" si="20"/>
        <v>130.928571428572</v>
      </c>
      <c r="G328" s="197">
        <f ca="1" t="shared" si="19"/>
        <v>130</v>
      </c>
      <c r="H328" s="19">
        <f ca="1" t="shared" si="21"/>
        <v>30</v>
      </c>
      <c r="I328" s="19">
        <v>107</v>
      </c>
      <c r="J328" s="17">
        <f ca="1" t="shared" si="22"/>
        <v>30</v>
      </c>
      <c r="M328" s="19">
        <v>30</v>
      </c>
    </row>
    <row r="329" spans="4:13">
      <c r="D329" s="176">
        <v>278</v>
      </c>
      <c r="E329" s="176">
        <f ca="1">OFFSET(养成框架!$R$63,MATCH(D329,养成框架!$D$64:$D$96,1),0)</f>
        <v>0.178571428571429</v>
      </c>
      <c r="F329" s="176">
        <f ca="1" t="shared" si="20"/>
        <v>131.107142857143</v>
      </c>
      <c r="G329" s="197">
        <f ca="1" t="shared" si="19"/>
        <v>131</v>
      </c>
      <c r="H329" s="19">
        <f ca="1" t="shared" si="21"/>
        <v>30</v>
      </c>
      <c r="I329" s="19">
        <v>107</v>
      </c>
      <c r="J329" s="17">
        <f ca="1" t="shared" si="22"/>
        <v>30</v>
      </c>
      <c r="M329" s="19">
        <v>30</v>
      </c>
    </row>
    <row r="330" spans="4:13">
      <c r="D330" s="176">
        <v>279</v>
      </c>
      <c r="E330" s="176">
        <f ca="1">OFFSET(养成框架!$R$63,MATCH(D330,养成框架!$D$64:$D$96,1),0)</f>
        <v>0.178571428571429</v>
      </c>
      <c r="F330" s="176">
        <f ca="1" t="shared" si="20"/>
        <v>131.285714285714</v>
      </c>
      <c r="G330" s="197">
        <f ca="1" t="shared" si="19"/>
        <v>131</v>
      </c>
      <c r="H330" s="19">
        <f ca="1" t="shared" si="21"/>
        <v>30</v>
      </c>
      <c r="I330" s="19">
        <v>107</v>
      </c>
      <c r="J330" s="17">
        <f ca="1" t="shared" si="22"/>
        <v>30</v>
      </c>
      <c r="M330" s="19">
        <v>30</v>
      </c>
    </row>
    <row r="331" spans="4:13">
      <c r="D331" s="176">
        <v>280</v>
      </c>
      <c r="E331" s="176">
        <f ca="1">OFFSET(养成框架!$R$63,MATCH(D331,养成框架!$D$64:$D$96,1),0)</f>
        <v>0.178571428571429</v>
      </c>
      <c r="F331" s="176">
        <f ca="1" t="shared" si="20"/>
        <v>131.464285714286</v>
      </c>
      <c r="G331" s="197">
        <f ca="1" t="shared" si="19"/>
        <v>131</v>
      </c>
      <c r="H331" s="19">
        <f ca="1" t="shared" si="21"/>
        <v>30</v>
      </c>
      <c r="I331" s="19">
        <v>107</v>
      </c>
      <c r="J331" s="17">
        <f ca="1" t="shared" si="22"/>
        <v>30</v>
      </c>
      <c r="M331" s="19">
        <v>30</v>
      </c>
    </row>
    <row r="332" spans="4:13">
      <c r="D332" s="176">
        <v>281</v>
      </c>
      <c r="E332" s="176">
        <f ca="1">OFFSET(养成框架!$R$63,MATCH(D332,养成框架!$D$64:$D$96,1),0)</f>
        <v>0.178571428571429</v>
      </c>
      <c r="F332" s="176">
        <f ca="1" t="shared" si="20"/>
        <v>131.642857142857</v>
      </c>
      <c r="G332" s="197">
        <f ca="1" t="shared" si="19"/>
        <v>131</v>
      </c>
      <c r="H332" s="19">
        <f ca="1" t="shared" si="21"/>
        <v>30</v>
      </c>
      <c r="I332" s="19">
        <v>107</v>
      </c>
      <c r="J332" s="17">
        <f ca="1" t="shared" si="22"/>
        <v>30</v>
      </c>
      <c r="M332" s="19">
        <v>30</v>
      </c>
    </row>
    <row r="333" spans="4:13">
      <c r="D333" s="176">
        <v>282</v>
      </c>
      <c r="E333" s="176">
        <f ca="1">OFFSET(养成框架!$R$63,MATCH(D333,养成框架!$D$64:$D$96,1),0)</f>
        <v>0.178571428571429</v>
      </c>
      <c r="F333" s="176">
        <f ca="1" t="shared" si="20"/>
        <v>131.821428571429</v>
      </c>
      <c r="G333" s="197">
        <f ca="1" t="shared" si="19"/>
        <v>131</v>
      </c>
      <c r="H333" s="19">
        <f ca="1" t="shared" si="21"/>
        <v>30</v>
      </c>
      <c r="I333" s="19">
        <v>107</v>
      </c>
      <c r="J333" s="17">
        <f ca="1" t="shared" si="22"/>
        <v>30</v>
      </c>
      <c r="M333" s="19">
        <v>30</v>
      </c>
    </row>
    <row r="334" spans="4:13">
      <c r="D334" s="176">
        <v>283</v>
      </c>
      <c r="E334" s="176">
        <f ca="1">OFFSET(养成框架!$R$63,MATCH(D334,养成框架!$D$64:$D$96,1),0)</f>
        <v>0.178571428571429</v>
      </c>
      <c r="F334" s="176">
        <f ca="1" t="shared" si="20"/>
        <v>132</v>
      </c>
      <c r="G334" s="197">
        <f ca="1" t="shared" si="19"/>
        <v>132</v>
      </c>
      <c r="H334" s="19">
        <f ca="1" t="shared" si="21"/>
        <v>30</v>
      </c>
      <c r="I334" s="19">
        <v>107</v>
      </c>
      <c r="J334" s="17">
        <f ca="1" t="shared" si="22"/>
        <v>30</v>
      </c>
      <c r="M334" s="19">
        <v>30</v>
      </c>
    </row>
    <row r="335" spans="4:13">
      <c r="D335" s="176">
        <v>284</v>
      </c>
      <c r="E335" s="176">
        <f ca="1">OFFSET(养成框架!$R$63,MATCH(D335,养成框架!$D$64:$D$96,1),0)</f>
        <v>0.178571428571429</v>
      </c>
      <c r="F335" s="176">
        <f ca="1" t="shared" si="20"/>
        <v>132.178571428572</v>
      </c>
      <c r="G335" s="197">
        <f ca="1" t="shared" si="19"/>
        <v>132</v>
      </c>
      <c r="H335" s="19">
        <f ca="1" t="shared" si="21"/>
        <v>30</v>
      </c>
      <c r="I335" s="19">
        <v>107</v>
      </c>
      <c r="J335" s="17">
        <f ca="1" t="shared" si="22"/>
        <v>30</v>
      </c>
      <c r="M335" s="19">
        <v>30</v>
      </c>
    </row>
    <row r="336" spans="4:13">
      <c r="D336" s="176">
        <v>285</v>
      </c>
      <c r="E336" s="176">
        <f ca="1">OFFSET(养成框架!$R$63,MATCH(D336,养成框架!$D$64:$D$96,1),0)</f>
        <v>0.178571428571429</v>
      </c>
      <c r="F336" s="176">
        <f ca="1" t="shared" si="20"/>
        <v>132.357142857143</v>
      </c>
      <c r="G336" s="197">
        <f ca="1" t="shared" si="19"/>
        <v>132</v>
      </c>
      <c r="H336" s="19">
        <f ca="1" t="shared" si="21"/>
        <v>30</v>
      </c>
      <c r="I336" s="19">
        <v>107</v>
      </c>
      <c r="J336" s="17">
        <f ca="1" t="shared" si="22"/>
        <v>30</v>
      </c>
      <c r="M336" s="19">
        <v>30</v>
      </c>
    </row>
    <row r="337" spans="4:13">
      <c r="D337" s="176">
        <v>286</v>
      </c>
      <c r="E337" s="176">
        <f ca="1">OFFSET(养成框架!$R$63,MATCH(D337,养成框架!$D$64:$D$96,1),0)</f>
        <v>0.178571428571429</v>
      </c>
      <c r="F337" s="176">
        <f ca="1" t="shared" si="20"/>
        <v>132.535714285714</v>
      </c>
      <c r="G337" s="197">
        <f ca="1" t="shared" si="19"/>
        <v>132</v>
      </c>
      <c r="H337" s="19">
        <f ca="1" t="shared" si="21"/>
        <v>30</v>
      </c>
      <c r="I337" s="19">
        <v>108</v>
      </c>
      <c r="J337" s="17">
        <f ca="1" t="shared" si="22"/>
        <v>30</v>
      </c>
      <c r="M337" s="19">
        <v>30</v>
      </c>
    </row>
    <row r="338" spans="4:13">
      <c r="D338" s="176">
        <v>287</v>
      </c>
      <c r="E338" s="176">
        <f ca="1">OFFSET(养成框架!$R$63,MATCH(D338,养成框架!$D$64:$D$96,1),0)</f>
        <v>0.178571428571429</v>
      </c>
      <c r="F338" s="176">
        <f ca="1" t="shared" si="20"/>
        <v>132.714285714286</v>
      </c>
      <c r="G338" s="197">
        <f ca="1" t="shared" si="19"/>
        <v>132</v>
      </c>
      <c r="H338" s="19">
        <f ca="1" t="shared" si="21"/>
        <v>30</v>
      </c>
      <c r="I338" s="19">
        <v>108</v>
      </c>
      <c r="J338" s="17">
        <f ca="1" t="shared" si="22"/>
        <v>30</v>
      </c>
      <c r="M338" s="19">
        <v>30</v>
      </c>
    </row>
    <row r="339" spans="4:13">
      <c r="D339" s="176">
        <v>288</v>
      </c>
      <c r="E339" s="176">
        <f ca="1">OFFSET(养成框架!$R$63,MATCH(D339,养成框架!$D$64:$D$96,1),0)</f>
        <v>0.178571428571429</v>
      </c>
      <c r="F339" s="176">
        <f ca="1" t="shared" si="20"/>
        <v>132.892857142857</v>
      </c>
      <c r="G339" s="197">
        <f ca="1" t="shared" si="19"/>
        <v>132</v>
      </c>
      <c r="H339" s="19">
        <f ca="1" t="shared" si="21"/>
        <v>30</v>
      </c>
      <c r="I339" s="19">
        <v>108</v>
      </c>
      <c r="J339" s="17">
        <f ca="1" t="shared" si="22"/>
        <v>30</v>
      </c>
      <c r="M339" s="19">
        <v>30</v>
      </c>
    </row>
    <row r="340" spans="4:13">
      <c r="D340" s="176">
        <v>289</v>
      </c>
      <c r="E340" s="176">
        <f ca="1">OFFSET(养成框架!$R$63,MATCH(D340,养成框架!$D$64:$D$96,1),0)</f>
        <v>0.178571428571429</v>
      </c>
      <c r="F340" s="176">
        <f ca="1" t="shared" si="20"/>
        <v>133.071428571429</v>
      </c>
      <c r="G340" s="197">
        <f ca="1" t="shared" si="19"/>
        <v>133</v>
      </c>
      <c r="H340" s="19">
        <f ca="1" t="shared" si="21"/>
        <v>30</v>
      </c>
      <c r="I340" s="19">
        <v>108</v>
      </c>
      <c r="J340" s="17">
        <f ca="1" t="shared" si="22"/>
        <v>30</v>
      </c>
      <c r="M340" s="19">
        <v>30</v>
      </c>
    </row>
    <row r="341" spans="4:13">
      <c r="D341" s="176">
        <v>290</v>
      </c>
      <c r="E341" s="176">
        <f ca="1">OFFSET(养成框架!$R$63,MATCH(D341,养成框架!$D$64:$D$96,1),0)</f>
        <v>0.178571428571429</v>
      </c>
      <c r="F341" s="176">
        <f ca="1" t="shared" si="20"/>
        <v>133.25</v>
      </c>
      <c r="G341" s="197">
        <f ca="1" t="shared" si="19"/>
        <v>133</v>
      </c>
      <c r="H341" s="19">
        <f ca="1" t="shared" si="21"/>
        <v>30</v>
      </c>
      <c r="I341" s="19">
        <v>108</v>
      </c>
      <c r="J341" s="17">
        <f ca="1" t="shared" si="22"/>
        <v>30</v>
      </c>
      <c r="M341" s="19">
        <v>30</v>
      </c>
    </row>
    <row r="342" spans="4:13">
      <c r="D342" s="176">
        <v>291</v>
      </c>
      <c r="E342" s="176">
        <f ca="1">OFFSET(养成框架!$R$63,MATCH(D342,养成框架!$D$64:$D$96,1),0)</f>
        <v>0.178571428571429</v>
      </c>
      <c r="F342" s="176">
        <f ca="1" t="shared" si="20"/>
        <v>133.428571428571</v>
      </c>
      <c r="G342" s="197">
        <f ca="1" t="shared" si="19"/>
        <v>133</v>
      </c>
      <c r="H342" s="19">
        <f ca="1" t="shared" si="21"/>
        <v>30</v>
      </c>
      <c r="I342" s="19">
        <v>108</v>
      </c>
      <c r="J342" s="17">
        <f ca="1" t="shared" si="22"/>
        <v>30</v>
      </c>
      <c r="M342" s="19">
        <v>30</v>
      </c>
    </row>
    <row r="343" spans="4:13">
      <c r="D343" s="176">
        <v>292</v>
      </c>
      <c r="E343" s="176">
        <f ca="1">OFFSET(养成框架!$R$63,MATCH(D343,养成框架!$D$64:$D$96,1),0)</f>
        <v>0.178571428571429</v>
      </c>
      <c r="F343" s="176">
        <f ca="1" t="shared" si="20"/>
        <v>133.607142857143</v>
      </c>
      <c r="G343" s="197">
        <f ca="1" t="shared" si="19"/>
        <v>133</v>
      </c>
      <c r="H343" s="19">
        <f ca="1" t="shared" si="21"/>
        <v>30</v>
      </c>
      <c r="I343" s="19">
        <v>108</v>
      </c>
      <c r="J343" s="17">
        <f ca="1" t="shared" si="22"/>
        <v>30</v>
      </c>
      <c r="M343" s="19">
        <v>30</v>
      </c>
    </row>
    <row r="344" spans="4:13">
      <c r="D344" s="176">
        <v>293</v>
      </c>
      <c r="E344" s="176">
        <f ca="1">OFFSET(养成框架!$R$63,MATCH(D344,养成框架!$D$64:$D$96,1),0)</f>
        <v>0.178571428571429</v>
      </c>
      <c r="F344" s="176">
        <f ca="1" t="shared" si="20"/>
        <v>133.785714285714</v>
      </c>
      <c r="G344" s="197">
        <f ca="1" t="shared" si="19"/>
        <v>133</v>
      </c>
      <c r="H344" s="19">
        <f ca="1" t="shared" si="21"/>
        <v>30</v>
      </c>
      <c r="I344" s="19">
        <v>108</v>
      </c>
      <c r="J344" s="17">
        <f ca="1" t="shared" si="22"/>
        <v>30</v>
      </c>
      <c r="M344" s="19">
        <v>30</v>
      </c>
    </row>
    <row r="345" spans="4:13">
      <c r="D345" s="176">
        <v>294</v>
      </c>
      <c r="E345" s="176">
        <f ca="1">OFFSET(养成框架!$R$63,MATCH(D345,养成框架!$D$64:$D$96,1),0)</f>
        <v>0.178571428571429</v>
      </c>
      <c r="F345" s="176">
        <f ca="1" t="shared" si="20"/>
        <v>133.964285714286</v>
      </c>
      <c r="G345" s="197">
        <f ca="1" t="shared" si="19"/>
        <v>133</v>
      </c>
      <c r="H345" s="19">
        <f ca="1" t="shared" si="21"/>
        <v>30</v>
      </c>
      <c r="I345" s="19">
        <v>108</v>
      </c>
      <c r="J345" s="17">
        <f ca="1" t="shared" si="22"/>
        <v>30</v>
      </c>
      <c r="M345" s="19">
        <v>30</v>
      </c>
    </row>
    <row r="346" spans="4:13">
      <c r="D346" s="176">
        <v>295</v>
      </c>
      <c r="E346" s="176">
        <f ca="1">OFFSET(养成框架!$R$63,MATCH(D346,养成框架!$D$64:$D$96,1),0)</f>
        <v>0.178571428571429</v>
      </c>
      <c r="F346" s="176">
        <f ca="1" t="shared" si="20"/>
        <v>134.142857142857</v>
      </c>
      <c r="G346" s="197">
        <f ca="1" t="shared" si="19"/>
        <v>134</v>
      </c>
      <c r="H346" s="19">
        <f ca="1" t="shared" si="21"/>
        <v>30</v>
      </c>
      <c r="I346" s="19">
        <v>108</v>
      </c>
      <c r="J346" s="17">
        <f ca="1" t="shared" si="22"/>
        <v>30</v>
      </c>
      <c r="M346" s="19">
        <v>30</v>
      </c>
    </row>
    <row r="347" spans="4:13">
      <c r="D347" s="176">
        <v>296</v>
      </c>
      <c r="E347" s="176">
        <f ca="1">OFFSET(养成框架!$R$63,MATCH(D347,养成框架!$D$64:$D$96,1),0)</f>
        <v>0.178571428571429</v>
      </c>
      <c r="F347" s="176">
        <f ca="1" t="shared" si="20"/>
        <v>134.321428571429</v>
      </c>
      <c r="G347" s="197">
        <f ca="1" t="shared" si="19"/>
        <v>134</v>
      </c>
      <c r="H347" s="19">
        <f ca="1" t="shared" si="21"/>
        <v>30</v>
      </c>
      <c r="I347" s="19">
        <v>108</v>
      </c>
      <c r="J347" s="17">
        <f ca="1" t="shared" si="22"/>
        <v>30</v>
      </c>
      <c r="M347" s="19">
        <v>30</v>
      </c>
    </row>
    <row r="348" spans="4:13">
      <c r="D348" s="176">
        <v>297</v>
      </c>
      <c r="E348" s="176">
        <f ca="1">OFFSET(养成框架!$R$63,MATCH(D348,养成框架!$D$64:$D$96,1),0)</f>
        <v>0.178571428571429</v>
      </c>
      <c r="F348" s="176">
        <f ca="1" t="shared" si="20"/>
        <v>134.5</v>
      </c>
      <c r="G348" s="197">
        <f ca="1" t="shared" si="19"/>
        <v>134</v>
      </c>
      <c r="H348" s="19">
        <f ca="1" t="shared" si="21"/>
        <v>30</v>
      </c>
      <c r="I348" s="19">
        <v>108</v>
      </c>
      <c r="J348" s="17">
        <f ca="1" t="shared" si="22"/>
        <v>30</v>
      </c>
      <c r="M348" s="19">
        <v>30</v>
      </c>
    </row>
    <row r="349" spans="4:13">
      <c r="D349" s="176">
        <v>298</v>
      </c>
      <c r="E349" s="176">
        <f ca="1">OFFSET(养成框架!$R$63,MATCH(D349,养成框架!$D$64:$D$96,1),0)</f>
        <v>0.178571428571429</v>
      </c>
      <c r="F349" s="176">
        <f ca="1" t="shared" si="20"/>
        <v>134.678571428571</v>
      </c>
      <c r="G349" s="197">
        <f ca="1" t="shared" si="19"/>
        <v>134</v>
      </c>
      <c r="H349" s="19">
        <f ca="1" t="shared" si="21"/>
        <v>30</v>
      </c>
      <c r="I349" s="19">
        <v>109</v>
      </c>
      <c r="J349" s="17">
        <f ca="1" t="shared" si="22"/>
        <v>30</v>
      </c>
      <c r="M349" s="19">
        <v>30</v>
      </c>
    </row>
    <row r="350" spans="4:13">
      <c r="D350" s="176">
        <v>299</v>
      </c>
      <c r="E350" s="176">
        <f ca="1">OFFSET(养成框架!$R$63,MATCH(D350,养成框架!$D$64:$D$96,1),0)</f>
        <v>0.178571428571429</v>
      </c>
      <c r="F350" s="176">
        <f ca="1" t="shared" si="20"/>
        <v>134.857142857143</v>
      </c>
      <c r="G350" s="197">
        <f ca="1" t="shared" si="19"/>
        <v>134</v>
      </c>
      <c r="H350" s="19">
        <f ca="1" t="shared" si="21"/>
        <v>30</v>
      </c>
      <c r="I350" s="19">
        <v>109</v>
      </c>
      <c r="J350" s="17">
        <f ca="1" t="shared" si="22"/>
        <v>30</v>
      </c>
      <c r="M350" s="19">
        <v>30</v>
      </c>
    </row>
    <row r="351" spans="4:13">
      <c r="D351" s="176">
        <v>300</v>
      </c>
      <c r="E351" s="176">
        <f ca="1">OFFSET(养成框架!$R$63,MATCH(D351,养成框架!$D$64:$D$96,1),0)</f>
        <v>0.178571428571429</v>
      </c>
      <c r="F351" s="176">
        <f ca="1" t="shared" si="20"/>
        <v>135.035714285714</v>
      </c>
      <c r="G351" s="197">
        <f ca="1" t="shared" si="19"/>
        <v>135</v>
      </c>
      <c r="H351" s="19">
        <f ca="1" t="shared" si="21"/>
        <v>30</v>
      </c>
      <c r="I351" s="19">
        <v>109</v>
      </c>
      <c r="J351" s="17">
        <f ca="1" t="shared" si="22"/>
        <v>30</v>
      </c>
      <c r="M351" s="19">
        <v>30</v>
      </c>
    </row>
    <row r="352" spans="4:13">
      <c r="D352" s="176">
        <v>301</v>
      </c>
      <c r="E352" s="176">
        <f ca="1">OFFSET(养成框架!$R$63,MATCH(D352,养成框架!$D$64:$D$96,1),0)</f>
        <v>0.178571428571429</v>
      </c>
      <c r="F352" s="176">
        <f ca="1" t="shared" si="20"/>
        <v>135.214285714286</v>
      </c>
      <c r="G352" s="197">
        <f ca="1" t="shared" si="19"/>
        <v>135</v>
      </c>
      <c r="H352" s="19">
        <f ca="1" t="shared" si="21"/>
        <v>30</v>
      </c>
      <c r="J352" s="17" t="e">
        <f ca="1" t="shared" si="22"/>
        <v>#N/A</v>
      </c>
    </row>
    <row r="353" spans="4:10">
      <c r="D353" s="176">
        <v>302</v>
      </c>
      <c r="E353" s="176">
        <f ca="1">OFFSET(养成框架!$R$63,MATCH(D353,养成框架!$D$64:$D$96,1),0)</f>
        <v>0.178571428571429</v>
      </c>
      <c r="F353" s="176">
        <f ca="1" t="shared" si="20"/>
        <v>135.392857142857</v>
      </c>
      <c r="G353" s="197">
        <f ca="1" t="shared" si="19"/>
        <v>135</v>
      </c>
      <c r="H353" s="19">
        <f ca="1" t="shared" si="21"/>
        <v>30</v>
      </c>
      <c r="J353" s="17" t="e">
        <f ca="1" t="shared" si="22"/>
        <v>#N/A</v>
      </c>
    </row>
    <row r="354" spans="4:10">
      <c r="D354" s="176">
        <v>303</v>
      </c>
      <c r="E354" s="176">
        <f ca="1">OFFSET(养成框架!$R$63,MATCH(D354,养成框架!$D$64:$D$96,1),0)</f>
        <v>0.178571428571429</v>
      </c>
      <c r="F354" s="176">
        <f ca="1" t="shared" si="20"/>
        <v>135.571428571428</v>
      </c>
      <c r="G354" s="197">
        <f ca="1" t="shared" si="19"/>
        <v>135</v>
      </c>
      <c r="H354" s="19">
        <f ca="1" t="shared" si="21"/>
        <v>30</v>
      </c>
      <c r="J354" s="17" t="e">
        <f ca="1" t="shared" si="22"/>
        <v>#N/A</v>
      </c>
    </row>
    <row r="355" spans="4:10">
      <c r="D355" s="176">
        <v>304</v>
      </c>
      <c r="E355" s="176">
        <f ca="1">OFFSET(养成框架!$R$63,MATCH(D355,养成框架!$D$64:$D$96,1),0)</f>
        <v>0.178571428571429</v>
      </c>
      <c r="F355" s="176">
        <f ca="1" t="shared" si="20"/>
        <v>135.75</v>
      </c>
      <c r="G355" s="197">
        <f ca="1" t="shared" si="19"/>
        <v>135</v>
      </c>
      <c r="H355" s="19">
        <f ca="1" t="shared" si="21"/>
        <v>30</v>
      </c>
      <c r="J355" s="17" t="e">
        <f ca="1" t="shared" si="22"/>
        <v>#N/A</v>
      </c>
    </row>
    <row r="356" spans="4:10">
      <c r="D356" s="176">
        <v>305</v>
      </c>
      <c r="E356" s="176">
        <f ca="1">OFFSET(养成框架!$R$63,MATCH(D356,养成框架!$D$64:$D$96,1),0)</f>
        <v>0.178571428571429</v>
      </c>
      <c r="F356" s="176">
        <f ca="1" t="shared" si="20"/>
        <v>135.928571428571</v>
      </c>
      <c r="G356" s="197">
        <f ca="1" t="shared" si="19"/>
        <v>135</v>
      </c>
      <c r="H356" s="19">
        <f ca="1" t="shared" si="21"/>
        <v>30</v>
      </c>
      <c r="J356" s="17" t="e">
        <f ca="1" t="shared" si="22"/>
        <v>#N/A</v>
      </c>
    </row>
    <row r="357" spans="4:10">
      <c r="D357" s="176">
        <v>306</v>
      </c>
      <c r="E357" s="176">
        <f ca="1">OFFSET(养成框架!$R$63,MATCH(D357,养成框架!$D$64:$D$96,1),0)</f>
        <v>0.178571428571429</v>
      </c>
      <c r="F357" s="176">
        <f ca="1" t="shared" si="20"/>
        <v>136.107142857143</v>
      </c>
      <c r="G357" s="197">
        <f ca="1" t="shared" si="19"/>
        <v>136</v>
      </c>
      <c r="H357" s="19">
        <f ca="1" t="shared" si="21"/>
        <v>30</v>
      </c>
      <c r="J357" s="17" t="e">
        <f ca="1" t="shared" si="22"/>
        <v>#N/A</v>
      </c>
    </row>
    <row r="358" spans="4:10">
      <c r="D358" s="176">
        <v>307</v>
      </c>
      <c r="E358" s="176">
        <f ca="1">OFFSET(养成框架!$R$63,MATCH(D358,养成框架!$D$64:$D$96,1),0)</f>
        <v>0.178571428571429</v>
      </c>
      <c r="F358" s="176">
        <f ca="1" t="shared" si="20"/>
        <v>136.285714285714</v>
      </c>
      <c r="G358" s="197">
        <f ca="1" t="shared" si="19"/>
        <v>136</v>
      </c>
      <c r="H358" s="19">
        <f ca="1" t="shared" si="21"/>
        <v>30</v>
      </c>
      <c r="J358" s="17" t="e">
        <f ca="1" t="shared" si="22"/>
        <v>#N/A</v>
      </c>
    </row>
    <row r="359" spans="4:10">
      <c r="D359" s="176">
        <v>308</v>
      </c>
      <c r="E359" s="176">
        <f ca="1">OFFSET(养成框架!$R$63,MATCH(D359,养成框架!$D$64:$D$96,1),0)</f>
        <v>0.178571428571429</v>
      </c>
      <c r="F359" s="176">
        <f ca="1" t="shared" si="20"/>
        <v>136.464285714286</v>
      </c>
      <c r="G359" s="197">
        <f ca="1" t="shared" si="19"/>
        <v>136</v>
      </c>
      <c r="H359" s="19">
        <f ca="1" t="shared" si="21"/>
        <v>30</v>
      </c>
      <c r="J359" s="17" t="e">
        <f ca="1" t="shared" si="22"/>
        <v>#N/A</v>
      </c>
    </row>
    <row r="360" spans="4:10">
      <c r="D360" s="176">
        <v>309</v>
      </c>
      <c r="E360" s="176">
        <f ca="1">OFFSET(养成框架!$R$63,MATCH(D360,养成框架!$D$64:$D$96,1),0)</f>
        <v>0.178571428571429</v>
      </c>
      <c r="F360" s="176">
        <f ca="1" t="shared" si="20"/>
        <v>136.642857142857</v>
      </c>
      <c r="G360" s="197">
        <f ca="1" t="shared" si="19"/>
        <v>136</v>
      </c>
      <c r="H360" s="19">
        <f ca="1" t="shared" si="21"/>
        <v>30</v>
      </c>
      <c r="J360" s="17" t="e">
        <f ca="1" t="shared" si="22"/>
        <v>#N/A</v>
      </c>
    </row>
    <row r="361" spans="4:10">
      <c r="D361" s="176">
        <v>310</v>
      </c>
      <c r="E361" s="176">
        <f ca="1">OFFSET(养成框架!$R$63,MATCH(D361,养成框架!$D$64:$D$96,1),0)</f>
        <v>0.178571428571429</v>
      </c>
      <c r="F361" s="176">
        <f ca="1" t="shared" si="20"/>
        <v>136.821428571428</v>
      </c>
      <c r="G361" s="197">
        <f ca="1" t="shared" si="19"/>
        <v>136</v>
      </c>
      <c r="H361" s="19">
        <f ca="1" t="shared" si="21"/>
        <v>30</v>
      </c>
      <c r="J361" s="17" t="e">
        <f ca="1" t="shared" si="22"/>
        <v>#N/A</v>
      </c>
    </row>
    <row r="362" spans="4:10">
      <c r="D362" s="176">
        <v>311</v>
      </c>
      <c r="E362" s="176">
        <f ca="1">OFFSET(养成框架!$R$63,MATCH(D362,养成框架!$D$64:$D$96,1),0)</f>
        <v>0.178571428571429</v>
      </c>
      <c r="F362" s="176">
        <f ca="1" t="shared" si="20"/>
        <v>137</v>
      </c>
      <c r="G362" s="197">
        <f ca="1" t="shared" si="19"/>
        <v>137</v>
      </c>
      <c r="H362" s="19">
        <f ca="1" t="shared" si="21"/>
        <v>30</v>
      </c>
      <c r="J362" s="17" t="e">
        <f ca="1" t="shared" si="22"/>
        <v>#N/A</v>
      </c>
    </row>
    <row r="363" spans="4:10">
      <c r="D363" s="176">
        <v>312</v>
      </c>
      <c r="E363" s="176">
        <f ca="1">OFFSET(养成框架!$R$63,MATCH(D363,养成框架!$D$64:$D$96,1),0)</f>
        <v>0.178571428571429</v>
      </c>
      <c r="F363" s="176">
        <f ca="1" t="shared" si="20"/>
        <v>137.178571428571</v>
      </c>
      <c r="G363" s="197">
        <f ca="1" t="shared" si="19"/>
        <v>137</v>
      </c>
      <c r="H363" s="19">
        <f ca="1" t="shared" si="21"/>
        <v>30</v>
      </c>
      <c r="J363" s="17" t="e">
        <f ca="1" t="shared" si="22"/>
        <v>#N/A</v>
      </c>
    </row>
    <row r="364" spans="4:10">
      <c r="D364" s="176">
        <v>313</v>
      </c>
      <c r="E364" s="176">
        <f ca="1">OFFSET(养成框架!$R$63,MATCH(D364,养成框架!$D$64:$D$96,1),0)</f>
        <v>0.178571428571429</v>
      </c>
      <c r="F364" s="176">
        <f ca="1" t="shared" si="20"/>
        <v>137.357142857143</v>
      </c>
      <c r="G364" s="197">
        <f ca="1" t="shared" si="19"/>
        <v>137</v>
      </c>
      <c r="H364" s="19">
        <f ca="1" t="shared" si="21"/>
        <v>30</v>
      </c>
      <c r="J364" s="17" t="e">
        <f ca="1" t="shared" si="22"/>
        <v>#N/A</v>
      </c>
    </row>
    <row r="365" spans="4:10">
      <c r="D365" s="176">
        <v>314</v>
      </c>
      <c r="E365" s="176">
        <f ca="1">OFFSET(养成框架!$R$63,MATCH(D365,养成框架!$D$64:$D$96,1),0)</f>
        <v>0.178571428571429</v>
      </c>
      <c r="F365" s="176">
        <f ca="1" t="shared" si="20"/>
        <v>137.535714285714</v>
      </c>
      <c r="G365" s="197">
        <f ca="1" t="shared" si="19"/>
        <v>137</v>
      </c>
      <c r="H365" s="19">
        <f ca="1" t="shared" si="21"/>
        <v>30</v>
      </c>
      <c r="J365" s="17" t="e">
        <f ca="1" t="shared" si="22"/>
        <v>#N/A</v>
      </c>
    </row>
    <row r="366" spans="4:10">
      <c r="D366" s="176">
        <v>315</v>
      </c>
      <c r="E366" s="176">
        <f ca="1">OFFSET(养成框架!$R$63,MATCH(D366,养成框架!$D$64:$D$96,1),0)</f>
        <v>0.178571428571429</v>
      </c>
      <c r="F366" s="176">
        <f ca="1" t="shared" si="20"/>
        <v>137.714285714285</v>
      </c>
      <c r="G366" s="197">
        <f ca="1" t="shared" si="19"/>
        <v>137</v>
      </c>
      <c r="H366" s="19">
        <f ca="1" t="shared" si="21"/>
        <v>30</v>
      </c>
      <c r="J366" s="17" t="e">
        <f ca="1" t="shared" si="22"/>
        <v>#N/A</v>
      </c>
    </row>
    <row r="367" spans="4:10">
      <c r="D367" s="176">
        <v>316</v>
      </c>
      <c r="E367" s="176">
        <f ca="1">OFFSET(养成框架!$R$63,MATCH(D367,养成框架!$D$64:$D$96,1),0)</f>
        <v>0.178571428571429</v>
      </c>
      <c r="F367" s="176">
        <f ca="1" t="shared" si="20"/>
        <v>137.892857142857</v>
      </c>
      <c r="G367" s="197">
        <f ca="1" t="shared" si="19"/>
        <v>137</v>
      </c>
      <c r="H367" s="19">
        <f ca="1" t="shared" si="21"/>
        <v>30</v>
      </c>
      <c r="J367" s="17" t="e">
        <f ca="1" t="shared" si="22"/>
        <v>#N/A</v>
      </c>
    </row>
    <row r="368" spans="4:10">
      <c r="D368" s="176">
        <v>317</v>
      </c>
      <c r="E368" s="176">
        <f ca="1">OFFSET(养成框架!$R$63,MATCH(D368,养成框架!$D$64:$D$96,1),0)</f>
        <v>0.178571428571429</v>
      </c>
      <c r="F368" s="176">
        <f ca="1" t="shared" si="20"/>
        <v>138.071428571428</v>
      </c>
      <c r="G368" s="197">
        <f ca="1" t="shared" si="19"/>
        <v>138</v>
      </c>
      <c r="H368" s="19">
        <f ca="1" t="shared" si="21"/>
        <v>30</v>
      </c>
      <c r="J368" s="17" t="e">
        <f ca="1" t="shared" si="22"/>
        <v>#N/A</v>
      </c>
    </row>
    <row r="369" spans="4:10">
      <c r="D369" s="176">
        <v>318</v>
      </c>
      <c r="E369" s="176">
        <f ca="1">OFFSET(养成框架!$R$63,MATCH(D369,养成框架!$D$64:$D$96,1),0)</f>
        <v>0.178571428571429</v>
      </c>
      <c r="F369" s="176">
        <f ca="1" t="shared" si="20"/>
        <v>138.25</v>
      </c>
      <c r="G369" s="197">
        <f ca="1" t="shared" si="19"/>
        <v>138</v>
      </c>
      <c r="H369" s="19">
        <f ca="1" t="shared" si="21"/>
        <v>30</v>
      </c>
      <c r="J369" s="17" t="e">
        <f ca="1" t="shared" si="22"/>
        <v>#N/A</v>
      </c>
    </row>
    <row r="370" spans="4:10">
      <c r="D370" s="176">
        <v>319</v>
      </c>
      <c r="E370" s="176">
        <f ca="1">OFFSET(养成框架!$R$63,MATCH(D370,养成框架!$D$64:$D$96,1),0)</f>
        <v>0.178571428571429</v>
      </c>
      <c r="F370" s="176">
        <f ca="1" t="shared" si="20"/>
        <v>138.428571428571</v>
      </c>
      <c r="G370" s="197">
        <f ca="1" t="shared" si="19"/>
        <v>138</v>
      </c>
      <c r="H370" s="19">
        <f ca="1" t="shared" si="21"/>
        <v>30</v>
      </c>
      <c r="J370" s="17" t="e">
        <f ca="1" t="shared" si="22"/>
        <v>#N/A</v>
      </c>
    </row>
    <row r="371" spans="4:10">
      <c r="D371" s="176">
        <v>320</v>
      </c>
      <c r="E371" s="176">
        <f ca="1">OFFSET(养成框架!$R$63,MATCH(D371,养成框架!$D$64:$D$96,1),0)</f>
        <v>0.178571428571429</v>
      </c>
      <c r="F371" s="176">
        <f ca="1" t="shared" si="20"/>
        <v>138.607142857143</v>
      </c>
      <c r="G371" s="197">
        <f ca="1" t="shared" si="19"/>
        <v>138</v>
      </c>
      <c r="H371" s="19">
        <f ca="1" t="shared" si="21"/>
        <v>30</v>
      </c>
      <c r="J371" s="17" t="e">
        <f ca="1" t="shared" si="22"/>
        <v>#N/A</v>
      </c>
    </row>
    <row r="372" spans="4:10">
      <c r="D372" s="176">
        <v>321</v>
      </c>
      <c r="E372" s="176">
        <f ca="1">OFFSET(养成框架!$R$63,MATCH(D372,养成框架!$D$64:$D$96,1),0)</f>
        <v>0.178571428571429</v>
      </c>
      <c r="F372" s="176">
        <f ca="1" t="shared" si="20"/>
        <v>138.785714285714</v>
      </c>
      <c r="G372" s="197">
        <f ca="1" t="shared" ref="G372:G435" si="23">INT(F372)</f>
        <v>138</v>
      </c>
      <c r="H372" s="19">
        <f ca="1" t="shared" si="21"/>
        <v>30</v>
      </c>
      <c r="J372" s="17" t="e">
        <f ca="1" t="shared" si="22"/>
        <v>#N/A</v>
      </c>
    </row>
    <row r="373" spans="4:10">
      <c r="D373" s="176">
        <v>322</v>
      </c>
      <c r="E373" s="176">
        <f ca="1">OFFSET(养成框架!$R$63,MATCH(D373,养成框架!$D$64:$D$96,1),0)</f>
        <v>0.178571428571429</v>
      </c>
      <c r="F373" s="176">
        <f ca="1" t="shared" ref="F373:F436" si="24">E373+F372</f>
        <v>138.964285714285</v>
      </c>
      <c r="G373" s="197">
        <f ca="1" t="shared" si="23"/>
        <v>138</v>
      </c>
      <c r="H373" s="19">
        <f ca="1" t="shared" ref="H373:H436" si="25">OFFSET($L$51,MATCH(F373,$K$52:$K$81,1),0)</f>
        <v>30</v>
      </c>
      <c r="J373" s="17" t="e">
        <f ca="1" t="shared" ref="J373:J436" si="26">OFFSET($L$51,MATCH(I373,$K$52:$K$81,1),0)</f>
        <v>#N/A</v>
      </c>
    </row>
    <row r="374" spans="4:10">
      <c r="D374" s="176">
        <v>323</v>
      </c>
      <c r="E374" s="176">
        <f ca="1">OFFSET(养成框架!$R$63,MATCH(D374,养成框架!$D$64:$D$96,1),0)</f>
        <v>0.178571428571429</v>
      </c>
      <c r="F374" s="176">
        <f ca="1" t="shared" si="24"/>
        <v>139.142857142857</v>
      </c>
      <c r="G374" s="197">
        <f ca="1" t="shared" si="23"/>
        <v>139</v>
      </c>
      <c r="H374" s="19">
        <f ca="1" t="shared" si="25"/>
        <v>30</v>
      </c>
      <c r="J374" s="17" t="e">
        <f ca="1" t="shared" si="26"/>
        <v>#N/A</v>
      </c>
    </row>
    <row r="375" spans="4:10">
      <c r="D375" s="176">
        <v>324</v>
      </c>
      <c r="E375" s="176">
        <f ca="1">OFFSET(养成框架!$R$63,MATCH(D375,养成框架!$D$64:$D$96,1),0)</f>
        <v>0.178571428571429</v>
      </c>
      <c r="F375" s="176">
        <f ca="1" t="shared" si="24"/>
        <v>139.321428571428</v>
      </c>
      <c r="G375" s="197">
        <f ca="1" t="shared" si="23"/>
        <v>139</v>
      </c>
      <c r="H375" s="19">
        <f ca="1" t="shared" si="25"/>
        <v>30</v>
      </c>
      <c r="J375" s="17" t="e">
        <f ca="1" t="shared" si="26"/>
        <v>#N/A</v>
      </c>
    </row>
    <row r="376" spans="4:10">
      <c r="D376" s="176">
        <v>325</v>
      </c>
      <c r="E376" s="176">
        <f ca="1">OFFSET(养成框架!$R$63,MATCH(D376,养成框架!$D$64:$D$96,1),0)</f>
        <v>0.178571428571429</v>
      </c>
      <c r="F376" s="176">
        <f ca="1" t="shared" si="24"/>
        <v>139.5</v>
      </c>
      <c r="G376" s="197">
        <f ca="1" t="shared" si="23"/>
        <v>139</v>
      </c>
      <c r="H376" s="19">
        <f ca="1" t="shared" si="25"/>
        <v>30</v>
      </c>
      <c r="J376" s="17" t="e">
        <f ca="1" t="shared" si="26"/>
        <v>#N/A</v>
      </c>
    </row>
    <row r="377" spans="4:10">
      <c r="D377" s="176">
        <v>326</v>
      </c>
      <c r="E377" s="176">
        <f ca="1">OFFSET(养成框架!$R$63,MATCH(D377,养成框架!$D$64:$D$96,1),0)</f>
        <v>0.178571428571429</v>
      </c>
      <c r="F377" s="176">
        <f ca="1" t="shared" si="24"/>
        <v>139.678571428571</v>
      </c>
      <c r="G377" s="197">
        <f ca="1" t="shared" si="23"/>
        <v>139</v>
      </c>
      <c r="H377" s="19">
        <f ca="1" t="shared" si="25"/>
        <v>30</v>
      </c>
      <c r="J377" s="17" t="e">
        <f ca="1" t="shared" si="26"/>
        <v>#N/A</v>
      </c>
    </row>
    <row r="378" spans="4:10">
      <c r="D378" s="176">
        <v>327</v>
      </c>
      <c r="E378" s="176">
        <f ca="1">OFFSET(养成框架!$R$63,MATCH(D378,养成框架!$D$64:$D$96,1),0)</f>
        <v>0.178571428571429</v>
      </c>
      <c r="F378" s="176">
        <f ca="1" t="shared" si="24"/>
        <v>139.857142857142</v>
      </c>
      <c r="G378" s="197">
        <f ca="1" t="shared" si="23"/>
        <v>139</v>
      </c>
      <c r="H378" s="19">
        <f ca="1" t="shared" si="25"/>
        <v>30</v>
      </c>
      <c r="J378" s="17" t="e">
        <f ca="1" t="shared" si="26"/>
        <v>#N/A</v>
      </c>
    </row>
    <row r="379" spans="4:10">
      <c r="D379" s="176">
        <v>328</v>
      </c>
      <c r="E379" s="176">
        <f ca="1">OFFSET(养成框架!$R$63,MATCH(D379,养成框架!$D$64:$D$96,1),0)</f>
        <v>0.178571428571429</v>
      </c>
      <c r="F379" s="176">
        <f ca="1" t="shared" si="24"/>
        <v>140.035714285714</v>
      </c>
      <c r="G379" s="197">
        <f ca="1" t="shared" si="23"/>
        <v>140</v>
      </c>
      <c r="H379" s="19">
        <f ca="1" t="shared" si="25"/>
        <v>30</v>
      </c>
      <c r="J379" s="17" t="e">
        <f ca="1" t="shared" si="26"/>
        <v>#N/A</v>
      </c>
    </row>
    <row r="380" spans="4:10">
      <c r="D380" s="176">
        <v>329</v>
      </c>
      <c r="E380" s="176">
        <f ca="1">OFFSET(养成框架!$R$63,MATCH(D380,养成框架!$D$64:$D$96,1),0)</f>
        <v>0.178571428571429</v>
      </c>
      <c r="F380" s="176">
        <f ca="1" t="shared" si="24"/>
        <v>140.214285714285</v>
      </c>
      <c r="G380" s="197">
        <f ca="1" t="shared" si="23"/>
        <v>140</v>
      </c>
      <c r="H380" s="19">
        <f ca="1" t="shared" si="25"/>
        <v>30</v>
      </c>
      <c r="J380" s="17" t="e">
        <f ca="1" t="shared" si="26"/>
        <v>#N/A</v>
      </c>
    </row>
    <row r="381" spans="4:10">
      <c r="D381" s="176">
        <v>330</v>
      </c>
      <c r="E381" s="176">
        <f ca="1">OFFSET(养成框架!$R$63,MATCH(D381,养成框架!$D$64:$D$96,1),0)</f>
        <v>0.178571428571429</v>
      </c>
      <c r="F381" s="176">
        <f ca="1" t="shared" si="24"/>
        <v>140.392857142857</v>
      </c>
      <c r="G381" s="197">
        <f ca="1" t="shared" si="23"/>
        <v>140</v>
      </c>
      <c r="H381" s="19">
        <f ca="1" t="shared" si="25"/>
        <v>30</v>
      </c>
      <c r="J381" s="17" t="e">
        <f ca="1" t="shared" si="26"/>
        <v>#N/A</v>
      </c>
    </row>
    <row r="382" spans="4:10">
      <c r="D382" s="176">
        <v>331</v>
      </c>
      <c r="E382" s="176">
        <f ca="1">OFFSET(养成框架!$R$63,MATCH(D382,养成框架!$D$64:$D$96,1),0)</f>
        <v>0.178571428571429</v>
      </c>
      <c r="F382" s="176">
        <f ca="1" t="shared" si="24"/>
        <v>140.571428571428</v>
      </c>
      <c r="G382" s="197">
        <f ca="1" t="shared" si="23"/>
        <v>140</v>
      </c>
      <c r="H382" s="19">
        <f ca="1" t="shared" si="25"/>
        <v>30</v>
      </c>
      <c r="J382" s="17" t="e">
        <f ca="1" t="shared" si="26"/>
        <v>#N/A</v>
      </c>
    </row>
    <row r="383" spans="4:10">
      <c r="D383" s="176">
        <v>332</v>
      </c>
      <c r="E383" s="176">
        <f ca="1">OFFSET(养成框架!$R$63,MATCH(D383,养成框架!$D$64:$D$96,1),0)</f>
        <v>0.178571428571429</v>
      </c>
      <c r="F383" s="176">
        <f ca="1" t="shared" si="24"/>
        <v>140.75</v>
      </c>
      <c r="G383" s="197">
        <f ca="1" t="shared" si="23"/>
        <v>140</v>
      </c>
      <c r="H383" s="19">
        <f ca="1" t="shared" si="25"/>
        <v>30</v>
      </c>
      <c r="J383" s="17" t="e">
        <f ca="1" t="shared" si="26"/>
        <v>#N/A</v>
      </c>
    </row>
    <row r="384" spans="4:10">
      <c r="D384" s="176">
        <v>333</v>
      </c>
      <c r="E384" s="176">
        <f ca="1">OFFSET(养成框架!$R$63,MATCH(D384,养成框架!$D$64:$D$96,1),0)</f>
        <v>0.178571428571429</v>
      </c>
      <c r="F384" s="176">
        <f ca="1" t="shared" si="24"/>
        <v>140.928571428571</v>
      </c>
      <c r="G384" s="197">
        <f ca="1" t="shared" si="23"/>
        <v>140</v>
      </c>
      <c r="H384" s="19">
        <f ca="1" t="shared" si="25"/>
        <v>30</v>
      </c>
      <c r="J384" s="17" t="e">
        <f ca="1" t="shared" si="26"/>
        <v>#N/A</v>
      </c>
    </row>
    <row r="385" spans="4:10">
      <c r="D385" s="176">
        <v>334</v>
      </c>
      <c r="E385" s="176">
        <f ca="1">OFFSET(养成框架!$R$63,MATCH(D385,养成框架!$D$64:$D$96,1),0)</f>
        <v>0.178571428571429</v>
      </c>
      <c r="F385" s="176">
        <f ca="1" t="shared" si="24"/>
        <v>141.107142857142</v>
      </c>
      <c r="G385" s="197">
        <f ca="1" t="shared" si="23"/>
        <v>141</v>
      </c>
      <c r="H385" s="19">
        <f ca="1" t="shared" si="25"/>
        <v>30</v>
      </c>
      <c r="J385" s="17" t="e">
        <f ca="1" t="shared" si="26"/>
        <v>#N/A</v>
      </c>
    </row>
    <row r="386" spans="4:10">
      <c r="D386" s="176">
        <v>335</v>
      </c>
      <c r="E386" s="176">
        <f ca="1">OFFSET(养成框架!$R$63,MATCH(D386,养成框架!$D$64:$D$96,1),0)</f>
        <v>0.178571428571429</v>
      </c>
      <c r="F386" s="176">
        <f ca="1" t="shared" si="24"/>
        <v>141.285714285714</v>
      </c>
      <c r="G386" s="197">
        <f ca="1" t="shared" si="23"/>
        <v>141</v>
      </c>
      <c r="H386" s="19">
        <f ca="1" t="shared" si="25"/>
        <v>30</v>
      </c>
      <c r="J386" s="17" t="e">
        <f ca="1" t="shared" si="26"/>
        <v>#N/A</v>
      </c>
    </row>
    <row r="387" spans="4:10">
      <c r="D387" s="176">
        <v>336</v>
      </c>
      <c r="E387" s="176">
        <f ca="1">OFFSET(养成框架!$R$63,MATCH(D387,养成框架!$D$64:$D$96,1),0)</f>
        <v>0.178571428571429</v>
      </c>
      <c r="F387" s="176">
        <f ca="1" t="shared" si="24"/>
        <v>141.464285714285</v>
      </c>
      <c r="G387" s="197">
        <f ca="1" t="shared" si="23"/>
        <v>141</v>
      </c>
      <c r="H387" s="19">
        <f ca="1" t="shared" si="25"/>
        <v>30</v>
      </c>
      <c r="J387" s="17" t="e">
        <f ca="1" t="shared" si="26"/>
        <v>#N/A</v>
      </c>
    </row>
    <row r="388" spans="4:10">
      <c r="D388" s="176">
        <v>337</v>
      </c>
      <c r="E388" s="176">
        <f ca="1">OFFSET(养成框架!$R$63,MATCH(D388,养成框架!$D$64:$D$96,1),0)</f>
        <v>0.178571428571429</v>
      </c>
      <c r="F388" s="176">
        <f ca="1" t="shared" si="24"/>
        <v>141.642857142857</v>
      </c>
      <c r="G388" s="197">
        <f ca="1" t="shared" si="23"/>
        <v>141</v>
      </c>
      <c r="H388" s="19">
        <f ca="1" t="shared" si="25"/>
        <v>30</v>
      </c>
      <c r="J388" s="17" t="e">
        <f ca="1" t="shared" si="26"/>
        <v>#N/A</v>
      </c>
    </row>
    <row r="389" spans="4:10">
      <c r="D389" s="176">
        <v>338</v>
      </c>
      <c r="E389" s="176">
        <f ca="1">OFFSET(养成框架!$R$63,MATCH(D389,养成框架!$D$64:$D$96,1),0)</f>
        <v>0.178571428571429</v>
      </c>
      <c r="F389" s="176">
        <f ca="1" t="shared" si="24"/>
        <v>141.821428571428</v>
      </c>
      <c r="G389" s="197">
        <f ca="1" t="shared" si="23"/>
        <v>141</v>
      </c>
      <c r="H389" s="19">
        <f ca="1" t="shared" si="25"/>
        <v>30</v>
      </c>
      <c r="J389" s="17" t="e">
        <f ca="1" t="shared" si="26"/>
        <v>#N/A</v>
      </c>
    </row>
    <row r="390" spans="4:10">
      <c r="D390" s="176">
        <v>339</v>
      </c>
      <c r="E390" s="176">
        <f ca="1">OFFSET(养成框架!$R$63,MATCH(D390,养成框架!$D$64:$D$96,1),0)</f>
        <v>0.178571428571429</v>
      </c>
      <c r="F390" s="176">
        <f ca="1" t="shared" si="24"/>
        <v>141.999999999999</v>
      </c>
      <c r="G390" s="197">
        <f ca="1" t="shared" si="23"/>
        <v>141</v>
      </c>
      <c r="H390" s="19">
        <f ca="1" t="shared" si="25"/>
        <v>30</v>
      </c>
      <c r="J390" s="17" t="e">
        <f ca="1" t="shared" si="26"/>
        <v>#N/A</v>
      </c>
    </row>
    <row r="391" spans="4:10">
      <c r="D391" s="176">
        <v>340</v>
      </c>
      <c r="E391" s="176">
        <f ca="1">OFFSET(养成框架!$R$63,MATCH(D391,养成框架!$D$64:$D$96,1),0)</f>
        <v>0.178571428571429</v>
      </c>
      <c r="F391" s="176">
        <f ca="1" t="shared" si="24"/>
        <v>142.178571428571</v>
      </c>
      <c r="G391" s="197">
        <f ca="1" t="shared" si="23"/>
        <v>142</v>
      </c>
      <c r="H391" s="19">
        <f ca="1" t="shared" si="25"/>
        <v>30</v>
      </c>
      <c r="J391" s="17" t="e">
        <f ca="1" t="shared" si="26"/>
        <v>#N/A</v>
      </c>
    </row>
    <row r="392" spans="4:10">
      <c r="D392" s="176">
        <v>341</v>
      </c>
      <c r="E392" s="176">
        <f ca="1">OFFSET(养成框架!$R$63,MATCH(D392,养成框架!$D$64:$D$96,1),0)</f>
        <v>0.178571428571429</v>
      </c>
      <c r="F392" s="176">
        <f ca="1" t="shared" si="24"/>
        <v>142.357142857142</v>
      </c>
      <c r="G392" s="197">
        <f ca="1" t="shared" si="23"/>
        <v>142</v>
      </c>
      <c r="H392" s="19">
        <f ca="1" t="shared" si="25"/>
        <v>30</v>
      </c>
      <c r="J392" s="17" t="e">
        <f ca="1" t="shared" si="26"/>
        <v>#N/A</v>
      </c>
    </row>
    <row r="393" spans="4:10">
      <c r="D393" s="176">
        <v>342</v>
      </c>
      <c r="E393" s="176">
        <f ca="1">OFFSET(养成框架!$R$63,MATCH(D393,养成框架!$D$64:$D$96,1),0)</f>
        <v>0.178571428571429</v>
      </c>
      <c r="F393" s="176">
        <f ca="1" t="shared" si="24"/>
        <v>142.535714285714</v>
      </c>
      <c r="G393" s="197">
        <f ca="1" t="shared" si="23"/>
        <v>142</v>
      </c>
      <c r="H393" s="19">
        <f ca="1" t="shared" si="25"/>
        <v>30</v>
      </c>
      <c r="J393" s="17" t="e">
        <f ca="1" t="shared" si="26"/>
        <v>#N/A</v>
      </c>
    </row>
    <row r="394" spans="4:10">
      <c r="D394" s="176">
        <v>343</v>
      </c>
      <c r="E394" s="176">
        <f ca="1">OFFSET(养成框架!$R$63,MATCH(D394,养成框架!$D$64:$D$96,1),0)</f>
        <v>0.178571428571429</v>
      </c>
      <c r="F394" s="176">
        <f ca="1" t="shared" si="24"/>
        <v>142.714285714285</v>
      </c>
      <c r="G394" s="197">
        <f ca="1" t="shared" si="23"/>
        <v>142</v>
      </c>
      <c r="H394" s="19">
        <f ca="1" t="shared" si="25"/>
        <v>30</v>
      </c>
      <c r="J394" s="17" t="e">
        <f ca="1" t="shared" si="26"/>
        <v>#N/A</v>
      </c>
    </row>
    <row r="395" spans="4:10">
      <c r="D395" s="176">
        <v>344</v>
      </c>
      <c r="E395" s="176">
        <f ca="1">OFFSET(养成框架!$R$63,MATCH(D395,养成框架!$D$64:$D$96,1),0)</f>
        <v>0.178571428571429</v>
      </c>
      <c r="F395" s="176">
        <f ca="1" t="shared" si="24"/>
        <v>142.892857142857</v>
      </c>
      <c r="G395" s="197">
        <f ca="1" t="shared" si="23"/>
        <v>142</v>
      </c>
      <c r="H395" s="19">
        <f ca="1" t="shared" si="25"/>
        <v>30</v>
      </c>
      <c r="J395" s="17" t="e">
        <f ca="1" t="shared" si="26"/>
        <v>#N/A</v>
      </c>
    </row>
    <row r="396" spans="4:10">
      <c r="D396" s="176">
        <v>345</v>
      </c>
      <c r="E396" s="176">
        <f ca="1">OFFSET(养成框架!$R$63,MATCH(D396,养成框架!$D$64:$D$96,1),0)</f>
        <v>0.178571428571429</v>
      </c>
      <c r="F396" s="176">
        <f ca="1" t="shared" si="24"/>
        <v>143.071428571428</v>
      </c>
      <c r="G396" s="197">
        <f ca="1" t="shared" si="23"/>
        <v>143</v>
      </c>
      <c r="H396" s="19">
        <f ca="1" t="shared" si="25"/>
        <v>30</v>
      </c>
      <c r="J396" s="17" t="e">
        <f ca="1" t="shared" si="26"/>
        <v>#N/A</v>
      </c>
    </row>
    <row r="397" spans="4:10">
      <c r="D397" s="176">
        <v>346</v>
      </c>
      <c r="E397" s="176">
        <f ca="1">OFFSET(养成框架!$R$63,MATCH(D397,养成框架!$D$64:$D$96,1),0)</f>
        <v>0.178571428571429</v>
      </c>
      <c r="F397" s="176">
        <f ca="1" t="shared" si="24"/>
        <v>143.249999999999</v>
      </c>
      <c r="G397" s="197">
        <f ca="1" t="shared" si="23"/>
        <v>143</v>
      </c>
      <c r="H397" s="19">
        <f ca="1" t="shared" si="25"/>
        <v>30</v>
      </c>
      <c r="J397" s="17" t="e">
        <f ca="1" t="shared" si="26"/>
        <v>#N/A</v>
      </c>
    </row>
    <row r="398" spans="4:10">
      <c r="D398" s="176">
        <v>347</v>
      </c>
      <c r="E398" s="176">
        <f ca="1">OFFSET(养成框架!$R$63,MATCH(D398,养成框架!$D$64:$D$96,1),0)</f>
        <v>0.178571428571429</v>
      </c>
      <c r="F398" s="176">
        <f ca="1" t="shared" si="24"/>
        <v>143.428571428571</v>
      </c>
      <c r="G398" s="197">
        <f ca="1" t="shared" si="23"/>
        <v>143</v>
      </c>
      <c r="H398" s="19">
        <f ca="1" t="shared" si="25"/>
        <v>30</v>
      </c>
      <c r="J398" s="17" t="e">
        <f ca="1" t="shared" si="26"/>
        <v>#N/A</v>
      </c>
    </row>
    <row r="399" spans="4:10">
      <c r="D399" s="176">
        <v>348</v>
      </c>
      <c r="E399" s="176">
        <f ca="1">OFFSET(养成框架!$R$63,MATCH(D399,养成框架!$D$64:$D$96,1),0)</f>
        <v>0.178571428571429</v>
      </c>
      <c r="F399" s="176">
        <f ca="1" t="shared" si="24"/>
        <v>143.607142857142</v>
      </c>
      <c r="G399" s="197">
        <f ca="1" t="shared" si="23"/>
        <v>143</v>
      </c>
      <c r="H399" s="19">
        <f ca="1" t="shared" si="25"/>
        <v>30</v>
      </c>
      <c r="J399" s="17" t="e">
        <f ca="1" t="shared" si="26"/>
        <v>#N/A</v>
      </c>
    </row>
    <row r="400" spans="4:10">
      <c r="D400" s="176">
        <v>349</v>
      </c>
      <c r="E400" s="176">
        <f ca="1">OFFSET(养成框架!$R$63,MATCH(D400,养成框架!$D$64:$D$96,1),0)</f>
        <v>0.178571428571429</v>
      </c>
      <c r="F400" s="176">
        <f ca="1" t="shared" si="24"/>
        <v>143.785714285714</v>
      </c>
      <c r="G400" s="197">
        <f ca="1" t="shared" si="23"/>
        <v>143</v>
      </c>
      <c r="H400" s="19">
        <f ca="1" t="shared" si="25"/>
        <v>30</v>
      </c>
      <c r="J400" s="17" t="e">
        <f ca="1" t="shared" si="26"/>
        <v>#N/A</v>
      </c>
    </row>
    <row r="401" spans="4:10">
      <c r="D401" s="176">
        <v>350</v>
      </c>
      <c r="E401" s="176">
        <f ca="1">OFFSET(养成框架!$R$63,MATCH(D401,养成框架!$D$64:$D$96,1),0)</f>
        <v>0.178571428571429</v>
      </c>
      <c r="F401" s="176">
        <f ca="1" t="shared" si="24"/>
        <v>143.964285714285</v>
      </c>
      <c r="G401" s="197">
        <f ca="1" t="shared" si="23"/>
        <v>143</v>
      </c>
      <c r="H401" s="19">
        <f ca="1" t="shared" si="25"/>
        <v>30</v>
      </c>
      <c r="J401" s="17" t="e">
        <f ca="1" t="shared" si="26"/>
        <v>#N/A</v>
      </c>
    </row>
    <row r="402" spans="4:10">
      <c r="D402" s="176">
        <v>351</v>
      </c>
      <c r="E402" s="176">
        <f ca="1">OFFSET(养成框架!$R$63,MATCH(D402,养成框架!$D$64:$D$96,1),0)</f>
        <v>0.178571428571429</v>
      </c>
      <c r="F402" s="176">
        <f ca="1" t="shared" si="24"/>
        <v>144.142857142856</v>
      </c>
      <c r="G402" s="197">
        <f ca="1" t="shared" si="23"/>
        <v>144</v>
      </c>
      <c r="H402" s="19">
        <f ca="1" t="shared" si="25"/>
        <v>30</v>
      </c>
      <c r="J402" s="17" t="e">
        <f ca="1" t="shared" si="26"/>
        <v>#N/A</v>
      </c>
    </row>
    <row r="403" spans="4:10">
      <c r="D403" s="176">
        <v>352</v>
      </c>
      <c r="E403" s="176">
        <f ca="1">OFFSET(养成框架!$R$63,MATCH(D403,养成框架!$D$64:$D$96,1),0)</f>
        <v>0.178571428571429</v>
      </c>
      <c r="F403" s="176">
        <f ca="1" t="shared" si="24"/>
        <v>144.321428571428</v>
      </c>
      <c r="G403" s="197">
        <f ca="1" t="shared" si="23"/>
        <v>144</v>
      </c>
      <c r="H403" s="19">
        <f ca="1" t="shared" si="25"/>
        <v>30</v>
      </c>
      <c r="J403" s="17" t="e">
        <f ca="1" t="shared" si="26"/>
        <v>#N/A</v>
      </c>
    </row>
    <row r="404" spans="4:10">
      <c r="D404" s="176">
        <v>353</v>
      </c>
      <c r="E404" s="176">
        <f ca="1">OFFSET(养成框架!$R$63,MATCH(D404,养成框架!$D$64:$D$96,1),0)</f>
        <v>0.178571428571429</v>
      </c>
      <c r="F404" s="176">
        <f ca="1" t="shared" si="24"/>
        <v>144.499999999999</v>
      </c>
      <c r="G404" s="197">
        <f ca="1" t="shared" si="23"/>
        <v>144</v>
      </c>
      <c r="H404" s="19">
        <f ca="1" t="shared" si="25"/>
        <v>30</v>
      </c>
      <c r="J404" s="17" t="e">
        <f ca="1" t="shared" si="26"/>
        <v>#N/A</v>
      </c>
    </row>
    <row r="405" spans="4:10">
      <c r="D405" s="176">
        <v>354</v>
      </c>
      <c r="E405" s="176">
        <f ca="1">OFFSET(养成框架!$R$63,MATCH(D405,养成框架!$D$64:$D$96,1),0)</f>
        <v>0.178571428571429</v>
      </c>
      <c r="F405" s="176">
        <f ca="1" t="shared" si="24"/>
        <v>144.678571428571</v>
      </c>
      <c r="G405" s="197">
        <f ca="1" t="shared" si="23"/>
        <v>144</v>
      </c>
      <c r="H405" s="19">
        <f ca="1" t="shared" si="25"/>
        <v>30</v>
      </c>
      <c r="J405" s="17" t="e">
        <f ca="1" t="shared" si="26"/>
        <v>#N/A</v>
      </c>
    </row>
    <row r="406" spans="4:10">
      <c r="D406" s="176">
        <v>355</v>
      </c>
      <c r="E406" s="176">
        <f ca="1">OFFSET(养成框架!$R$63,MATCH(D406,养成框架!$D$64:$D$96,1),0)</f>
        <v>0.178571428571429</v>
      </c>
      <c r="F406" s="176">
        <f ca="1" t="shared" si="24"/>
        <v>144.857142857142</v>
      </c>
      <c r="G406" s="197">
        <f ca="1" t="shared" si="23"/>
        <v>144</v>
      </c>
      <c r="H406" s="19">
        <f ca="1" t="shared" si="25"/>
        <v>30</v>
      </c>
      <c r="J406" s="17" t="e">
        <f ca="1" t="shared" si="26"/>
        <v>#N/A</v>
      </c>
    </row>
    <row r="407" spans="4:10">
      <c r="D407" s="176">
        <v>356</v>
      </c>
      <c r="E407" s="176">
        <f ca="1">OFFSET(养成框架!$R$63,MATCH(D407,养成框架!$D$64:$D$96,1),0)</f>
        <v>0.178571428571429</v>
      </c>
      <c r="F407" s="176">
        <f ca="1" t="shared" si="24"/>
        <v>145.035714285714</v>
      </c>
      <c r="G407" s="197">
        <f ca="1" t="shared" si="23"/>
        <v>145</v>
      </c>
      <c r="H407" s="19">
        <f ca="1" t="shared" si="25"/>
        <v>30</v>
      </c>
      <c r="J407" s="17" t="e">
        <f ca="1" t="shared" si="26"/>
        <v>#N/A</v>
      </c>
    </row>
    <row r="408" spans="4:10">
      <c r="D408" s="176">
        <v>357</v>
      </c>
      <c r="E408" s="176">
        <f ca="1">OFFSET(养成框架!$R$63,MATCH(D408,养成框架!$D$64:$D$96,1),0)</f>
        <v>0.178571428571429</v>
      </c>
      <c r="F408" s="176">
        <f ca="1" t="shared" si="24"/>
        <v>145.214285714285</v>
      </c>
      <c r="G408" s="197">
        <f ca="1" t="shared" si="23"/>
        <v>145</v>
      </c>
      <c r="H408" s="19">
        <f ca="1" t="shared" si="25"/>
        <v>30</v>
      </c>
      <c r="J408" s="17" t="e">
        <f ca="1" t="shared" si="26"/>
        <v>#N/A</v>
      </c>
    </row>
    <row r="409" spans="4:10">
      <c r="D409" s="176">
        <v>358</v>
      </c>
      <c r="E409" s="176">
        <f ca="1">OFFSET(养成框架!$R$63,MATCH(D409,养成框架!$D$64:$D$96,1),0)</f>
        <v>0.178571428571429</v>
      </c>
      <c r="F409" s="176">
        <f ca="1" t="shared" si="24"/>
        <v>145.392857142856</v>
      </c>
      <c r="G409" s="197">
        <f ca="1" t="shared" si="23"/>
        <v>145</v>
      </c>
      <c r="H409" s="19">
        <f ca="1" t="shared" si="25"/>
        <v>30</v>
      </c>
      <c r="J409" s="17" t="e">
        <f ca="1" t="shared" si="26"/>
        <v>#N/A</v>
      </c>
    </row>
    <row r="410" spans="4:10">
      <c r="D410" s="176">
        <v>359</v>
      </c>
      <c r="E410" s="176">
        <f ca="1">OFFSET(养成框架!$R$63,MATCH(D410,养成框架!$D$64:$D$96,1),0)</f>
        <v>0.178571428571429</v>
      </c>
      <c r="F410" s="176">
        <f ca="1" t="shared" si="24"/>
        <v>145.571428571428</v>
      </c>
      <c r="G410" s="197">
        <f ca="1" t="shared" si="23"/>
        <v>145</v>
      </c>
      <c r="H410" s="19">
        <f ca="1" t="shared" si="25"/>
        <v>30</v>
      </c>
      <c r="J410" s="17" t="e">
        <f ca="1" t="shared" si="26"/>
        <v>#N/A</v>
      </c>
    </row>
    <row r="411" spans="4:10">
      <c r="D411" s="176">
        <v>360</v>
      </c>
      <c r="E411" s="176">
        <f ca="1">OFFSET(养成框架!$R$63,MATCH(D411,养成框架!$D$64:$D$96,1),0)</f>
        <v>0.178571428571429</v>
      </c>
      <c r="F411" s="176">
        <f ca="1" t="shared" si="24"/>
        <v>145.749999999999</v>
      </c>
      <c r="G411" s="197">
        <f ca="1" t="shared" si="23"/>
        <v>145</v>
      </c>
      <c r="H411" s="19">
        <f ca="1" t="shared" si="25"/>
        <v>30</v>
      </c>
      <c r="J411" s="17" t="e">
        <f ca="1" t="shared" si="26"/>
        <v>#N/A</v>
      </c>
    </row>
    <row r="412" spans="4:10">
      <c r="D412" s="176">
        <v>361</v>
      </c>
      <c r="E412" s="176">
        <f ca="1">OFFSET(养成框架!$R$63,MATCH(D412,养成框架!$D$64:$D$96,1),0)</f>
        <v>0.178571428571429</v>
      </c>
      <c r="F412" s="176">
        <f ca="1" t="shared" si="24"/>
        <v>145.928571428571</v>
      </c>
      <c r="G412" s="197">
        <f ca="1" t="shared" si="23"/>
        <v>145</v>
      </c>
      <c r="H412" s="19">
        <f ca="1" t="shared" si="25"/>
        <v>30</v>
      </c>
      <c r="J412" s="17" t="e">
        <f ca="1" t="shared" si="26"/>
        <v>#N/A</v>
      </c>
    </row>
    <row r="413" spans="4:10">
      <c r="D413" s="176">
        <v>362</v>
      </c>
      <c r="E413" s="176">
        <f ca="1">OFFSET(养成框架!$R$63,MATCH(D413,养成框架!$D$64:$D$96,1),0)</f>
        <v>0.178571428571429</v>
      </c>
      <c r="F413" s="176">
        <f ca="1" t="shared" si="24"/>
        <v>146.107142857142</v>
      </c>
      <c r="G413" s="197">
        <f ca="1" t="shared" si="23"/>
        <v>146</v>
      </c>
      <c r="H413" s="19">
        <f ca="1" t="shared" si="25"/>
        <v>30</v>
      </c>
      <c r="J413" s="17" t="e">
        <f ca="1" t="shared" si="26"/>
        <v>#N/A</v>
      </c>
    </row>
    <row r="414" spans="4:10">
      <c r="D414" s="176">
        <v>363</v>
      </c>
      <c r="E414" s="176">
        <f ca="1">OFFSET(养成框架!$R$63,MATCH(D414,养成框架!$D$64:$D$96,1),0)</f>
        <v>0.178571428571429</v>
      </c>
      <c r="F414" s="176">
        <f ca="1" t="shared" si="24"/>
        <v>146.285714285713</v>
      </c>
      <c r="G414" s="197">
        <f ca="1" t="shared" si="23"/>
        <v>146</v>
      </c>
      <c r="H414" s="19">
        <f ca="1" t="shared" si="25"/>
        <v>30</v>
      </c>
      <c r="J414" s="17" t="e">
        <f ca="1" t="shared" si="26"/>
        <v>#N/A</v>
      </c>
    </row>
    <row r="415" spans="4:10">
      <c r="D415" s="176">
        <v>364</v>
      </c>
      <c r="E415" s="176">
        <f ca="1">OFFSET(养成框架!$R$63,MATCH(D415,养成框架!$D$64:$D$96,1),0)</f>
        <v>0.178571428571429</v>
      </c>
      <c r="F415" s="176">
        <f ca="1" t="shared" si="24"/>
        <v>146.464285714285</v>
      </c>
      <c r="G415" s="197">
        <f ca="1" t="shared" si="23"/>
        <v>146</v>
      </c>
      <c r="H415" s="19">
        <f ca="1" t="shared" si="25"/>
        <v>30</v>
      </c>
      <c r="J415" s="17" t="e">
        <f ca="1" t="shared" si="26"/>
        <v>#N/A</v>
      </c>
    </row>
    <row r="416" spans="4:10">
      <c r="D416" s="176">
        <v>365</v>
      </c>
      <c r="E416" s="176">
        <f ca="1">OFFSET(养成框架!$R$63,MATCH(D416,养成框架!$D$64:$D$96,1),0)</f>
        <v>0.178571428571429</v>
      </c>
      <c r="F416" s="176">
        <f ca="1" t="shared" si="24"/>
        <v>146.642857142856</v>
      </c>
      <c r="G416" s="197">
        <f ca="1" t="shared" si="23"/>
        <v>146</v>
      </c>
      <c r="H416" s="19">
        <f ca="1" t="shared" si="25"/>
        <v>30</v>
      </c>
      <c r="J416" s="17" t="e">
        <f ca="1" t="shared" si="26"/>
        <v>#N/A</v>
      </c>
    </row>
    <row r="417" spans="4:10">
      <c r="D417" s="176">
        <v>366</v>
      </c>
      <c r="E417" s="176">
        <f ca="1">OFFSET(养成框架!$R$63,MATCH(D417,养成框架!$D$64:$D$96,1),0)</f>
        <v>0.178571428571429</v>
      </c>
      <c r="F417" s="176">
        <f ca="1" t="shared" si="24"/>
        <v>146.821428571428</v>
      </c>
      <c r="G417" s="197">
        <f ca="1" t="shared" si="23"/>
        <v>146</v>
      </c>
      <c r="H417" s="19">
        <f ca="1" t="shared" si="25"/>
        <v>30</v>
      </c>
      <c r="J417" s="17" t="e">
        <f ca="1" t="shared" si="26"/>
        <v>#N/A</v>
      </c>
    </row>
    <row r="418" spans="4:10">
      <c r="D418" s="176">
        <v>367</v>
      </c>
      <c r="E418" s="176">
        <f ca="1">OFFSET(养成框架!$R$63,MATCH(D418,养成框架!$D$64:$D$96,1),0)</f>
        <v>0.178571428571429</v>
      </c>
      <c r="F418" s="176">
        <f ca="1" t="shared" si="24"/>
        <v>146.999999999999</v>
      </c>
      <c r="G418" s="197">
        <f ca="1" t="shared" si="23"/>
        <v>146</v>
      </c>
      <c r="H418" s="19">
        <f ca="1" t="shared" si="25"/>
        <v>30</v>
      </c>
      <c r="J418" s="17" t="e">
        <f ca="1" t="shared" si="26"/>
        <v>#N/A</v>
      </c>
    </row>
    <row r="419" spans="4:10">
      <c r="D419" s="176">
        <v>368</v>
      </c>
      <c r="E419" s="176">
        <f ca="1">OFFSET(养成框架!$R$63,MATCH(D419,养成框架!$D$64:$D$96,1),0)</f>
        <v>0.178571428571429</v>
      </c>
      <c r="F419" s="176">
        <f ca="1" t="shared" si="24"/>
        <v>147.178571428571</v>
      </c>
      <c r="G419" s="197">
        <f ca="1" t="shared" si="23"/>
        <v>147</v>
      </c>
      <c r="H419" s="19">
        <f ca="1" t="shared" si="25"/>
        <v>30</v>
      </c>
      <c r="J419" s="17" t="e">
        <f ca="1" t="shared" si="26"/>
        <v>#N/A</v>
      </c>
    </row>
    <row r="420" spans="4:10">
      <c r="D420" s="176">
        <v>369</v>
      </c>
      <c r="E420" s="176">
        <f ca="1">OFFSET(养成框架!$R$63,MATCH(D420,养成框架!$D$64:$D$96,1),0)</f>
        <v>0.178571428571429</v>
      </c>
      <c r="F420" s="176">
        <f ca="1" t="shared" si="24"/>
        <v>147.357142857142</v>
      </c>
      <c r="G420" s="197">
        <f ca="1" t="shared" si="23"/>
        <v>147</v>
      </c>
      <c r="H420" s="19">
        <f ca="1" t="shared" si="25"/>
        <v>30</v>
      </c>
      <c r="J420" s="17" t="e">
        <f ca="1" t="shared" si="26"/>
        <v>#N/A</v>
      </c>
    </row>
    <row r="421" spans="4:10">
      <c r="D421" s="176">
        <v>370</v>
      </c>
      <c r="E421" s="176">
        <f ca="1">OFFSET(养成框架!$R$63,MATCH(D421,养成框架!$D$64:$D$96,1),0)</f>
        <v>0.178571428571429</v>
      </c>
      <c r="F421" s="176">
        <f ca="1" t="shared" si="24"/>
        <v>147.535714285713</v>
      </c>
      <c r="G421" s="197">
        <f ca="1" t="shared" si="23"/>
        <v>147</v>
      </c>
      <c r="H421" s="19">
        <f ca="1" t="shared" si="25"/>
        <v>30</v>
      </c>
      <c r="J421" s="17" t="e">
        <f ca="1" t="shared" si="26"/>
        <v>#N/A</v>
      </c>
    </row>
    <row r="422" spans="4:10">
      <c r="D422" s="176">
        <v>371</v>
      </c>
      <c r="E422" s="176">
        <f ca="1">OFFSET(养成框架!$R$63,MATCH(D422,养成框架!$D$64:$D$96,1),0)</f>
        <v>0.178571428571429</v>
      </c>
      <c r="F422" s="176">
        <f ca="1" t="shared" si="24"/>
        <v>147.714285714285</v>
      </c>
      <c r="G422" s="197">
        <f ca="1" t="shared" si="23"/>
        <v>147</v>
      </c>
      <c r="H422" s="19">
        <f ca="1" t="shared" si="25"/>
        <v>30</v>
      </c>
      <c r="J422" s="17" t="e">
        <f ca="1" t="shared" si="26"/>
        <v>#N/A</v>
      </c>
    </row>
    <row r="423" spans="4:10">
      <c r="D423" s="176">
        <v>372</v>
      </c>
      <c r="E423" s="176">
        <f ca="1">OFFSET(养成框架!$R$63,MATCH(D423,养成框架!$D$64:$D$96,1),0)</f>
        <v>0.178571428571429</v>
      </c>
      <c r="F423" s="176">
        <f ca="1" t="shared" si="24"/>
        <v>147.892857142856</v>
      </c>
      <c r="G423" s="197">
        <f ca="1" t="shared" si="23"/>
        <v>147</v>
      </c>
      <c r="H423" s="19">
        <f ca="1" t="shared" si="25"/>
        <v>30</v>
      </c>
      <c r="J423" s="17" t="e">
        <f ca="1" t="shared" si="26"/>
        <v>#N/A</v>
      </c>
    </row>
    <row r="424" spans="4:10">
      <c r="D424" s="176">
        <v>373</v>
      </c>
      <c r="E424" s="176">
        <f ca="1">OFFSET(养成框架!$R$63,MATCH(D424,养成框架!$D$64:$D$96,1),0)</f>
        <v>0.178571428571429</v>
      </c>
      <c r="F424" s="176">
        <f ca="1" t="shared" si="24"/>
        <v>148.071428571428</v>
      </c>
      <c r="G424" s="197">
        <f ca="1" t="shared" si="23"/>
        <v>148</v>
      </c>
      <c r="H424" s="19">
        <f ca="1" t="shared" si="25"/>
        <v>30</v>
      </c>
      <c r="J424" s="17" t="e">
        <f ca="1" t="shared" si="26"/>
        <v>#N/A</v>
      </c>
    </row>
    <row r="425" spans="4:10">
      <c r="D425" s="176">
        <v>374</v>
      </c>
      <c r="E425" s="176">
        <f ca="1">OFFSET(养成框架!$R$63,MATCH(D425,养成框架!$D$64:$D$96,1),0)</f>
        <v>0.178571428571429</v>
      </c>
      <c r="F425" s="176">
        <f ca="1" t="shared" si="24"/>
        <v>148.249999999999</v>
      </c>
      <c r="G425" s="197">
        <f ca="1" t="shared" si="23"/>
        <v>148</v>
      </c>
      <c r="H425" s="19">
        <f ca="1" t="shared" si="25"/>
        <v>30</v>
      </c>
      <c r="J425" s="17" t="e">
        <f ca="1" t="shared" si="26"/>
        <v>#N/A</v>
      </c>
    </row>
    <row r="426" spans="4:10">
      <c r="D426" s="176">
        <v>375</v>
      </c>
      <c r="E426" s="176">
        <f ca="1">OFFSET(养成框架!$R$63,MATCH(D426,养成框架!$D$64:$D$96,1),0)</f>
        <v>0.178571428571429</v>
      </c>
      <c r="F426" s="176">
        <f ca="1" t="shared" si="24"/>
        <v>148.42857142857</v>
      </c>
      <c r="G426" s="197">
        <f ca="1" t="shared" si="23"/>
        <v>148</v>
      </c>
      <c r="H426" s="19">
        <f ca="1" t="shared" si="25"/>
        <v>30</v>
      </c>
      <c r="J426" s="17" t="e">
        <f ca="1" t="shared" si="26"/>
        <v>#N/A</v>
      </c>
    </row>
    <row r="427" spans="4:10">
      <c r="D427" s="176">
        <v>376</v>
      </c>
      <c r="E427" s="176">
        <f ca="1">OFFSET(养成框架!$R$63,MATCH(D427,养成框架!$D$64:$D$96,1),0)</f>
        <v>0.178571428571429</v>
      </c>
      <c r="F427" s="176">
        <f ca="1" t="shared" si="24"/>
        <v>148.607142857142</v>
      </c>
      <c r="G427" s="197">
        <f ca="1" t="shared" si="23"/>
        <v>148</v>
      </c>
      <c r="H427" s="19">
        <f ca="1" t="shared" si="25"/>
        <v>30</v>
      </c>
      <c r="J427" s="17" t="e">
        <f ca="1" t="shared" si="26"/>
        <v>#N/A</v>
      </c>
    </row>
    <row r="428" spans="4:10">
      <c r="D428" s="176">
        <v>377</v>
      </c>
      <c r="E428" s="176">
        <f ca="1">OFFSET(养成框架!$R$63,MATCH(D428,养成框架!$D$64:$D$96,1),0)</f>
        <v>0.178571428571429</v>
      </c>
      <c r="F428" s="176">
        <f ca="1" t="shared" si="24"/>
        <v>148.785714285713</v>
      </c>
      <c r="G428" s="197">
        <f ca="1" t="shared" si="23"/>
        <v>148</v>
      </c>
      <c r="H428" s="19">
        <f ca="1" t="shared" si="25"/>
        <v>30</v>
      </c>
      <c r="J428" s="17" t="e">
        <f ca="1" t="shared" si="26"/>
        <v>#N/A</v>
      </c>
    </row>
    <row r="429" spans="4:10">
      <c r="D429" s="176">
        <v>378</v>
      </c>
      <c r="E429" s="176">
        <f ca="1">OFFSET(养成框架!$R$63,MATCH(D429,养成框架!$D$64:$D$96,1),0)</f>
        <v>0.178571428571429</v>
      </c>
      <c r="F429" s="176">
        <f ca="1" t="shared" si="24"/>
        <v>148.964285714285</v>
      </c>
      <c r="G429" s="197">
        <f ca="1" t="shared" si="23"/>
        <v>148</v>
      </c>
      <c r="H429" s="19">
        <f ca="1" t="shared" si="25"/>
        <v>30</v>
      </c>
      <c r="J429" s="17" t="e">
        <f ca="1" t="shared" si="26"/>
        <v>#N/A</v>
      </c>
    </row>
    <row r="430" spans="4:10">
      <c r="D430" s="176">
        <v>379</v>
      </c>
      <c r="E430" s="176">
        <f ca="1">OFFSET(养成框架!$R$63,MATCH(D430,养成框架!$D$64:$D$96,1),0)</f>
        <v>0.178571428571429</v>
      </c>
      <c r="F430" s="176">
        <f ca="1" t="shared" si="24"/>
        <v>149.142857142856</v>
      </c>
      <c r="G430" s="197">
        <f ca="1" t="shared" si="23"/>
        <v>149</v>
      </c>
      <c r="H430" s="19">
        <f ca="1" t="shared" si="25"/>
        <v>30</v>
      </c>
      <c r="J430" s="17" t="e">
        <f ca="1" t="shared" si="26"/>
        <v>#N/A</v>
      </c>
    </row>
    <row r="431" spans="4:10">
      <c r="D431" s="176">
        <v>380</v>
      </c>
      <c r="E431" s="176">
        <f ca="1">OFFSET(养成框架!$R$63,MATCH(D431,养成框架!$D$64:$D$96,1),0)</f>
        <v>0.178571428571429</v>
      </c>
      <c r="F431" s="176">
        <f ca="1" t="shared" si="24"/>
        <v>149.321428571428</v>
      </c>
      <c r="G431" s="197">
        <f ca="1" t="shared" si="23"/>
        <v>149</v>
      </c>
      <c r="H431" s="19">
        <f ca="1" t="shared" si="25"/>
        <v>30</v>
      </c>
      <c r="J431" s="17" t="e">
        <f ca="1" t="shared" si="26"/>
        <v>#N/A</v>
      </c>
    </row>
    <row r="432" spans="4:10">
      <c r="D432" s="176">
        <v>381</v>
      </c>
      <c r="E432" s="176">
        <f ca="1">OFFSET(养成框架!$R$63,MATCH(D432,养成框架!$D$64:$D$96,1),0)</f>
        <v>0.178571428571429</v>
      </c>
      <c r="F432" s="176">
        <f ca="1" t="shared" si="24"/>
        <v>149.499999999999</v>
      </c>
      <c r="G432" s="197">
        <f ca="1" t="shared" si="23"/>
        <v>149</v>
      </c>
      <c r="H432" s="19">
        <f ca="1" t="shared" si="25"/>
        <v>30</v>
      </c>
      <c r="J432" s="17" t="e">
        <f ca="1" t="shared" si="26"/>
        <v>#N/A</v>
      </c>
    </row>
    <row r="433" spans="4:10">
      <c r="D433" s="176">
        <v>382</v>
      </c>
      <c r="E433" s="176">
        <f ca="1">OFFSET(养成框架!$R$63,MATCH(D433,养成框架!$D$64:$D$96,1),0)</f>
        <v>0.178571428571429</v>
      </c>
      <c r="F433" s="176">
        <f ca="1" t="shared" si="24"/>
        <v>149.67857142857</v>
      </c>
      <c r="G433" s="197">
        <f ca="1" t="shared" si="23"/>
        <v>149</v>
      </c>
      <c r="H433" s="19">
        <f ca="1" t="shared" si="25"/>
        <v>30</v>
      </c>
      <c r="J433" s="17" t="e">
        <f ca="1" t="shared" si="26"/>
        <v>#N/A</v>
      </c>
    </row>
    <row r="434" spans="4:10">
      <c r="D434" s="176">
        <v>383</v>
      </c>
      <c r="E434" s="176">
        <f ca="1">OFFSET(养成框架!$R$63,MATCH(D434,养成框架!$D$64:$D$96,1),0)</f>
        <v>0.178571428571429</v>
      </c>
      <c r="F434" s="176">
        <f ca="1" t="shared" si="24"/>
        <v>149.857142857142</v>
      </c>
      <c r="G434" s="197">
        <f ca="1" t="shared" si="23"/>
        <v>149</v>
      </c>
      <c r="H434" s="19">
        <f ca="1" t="shared" si="25"/>
        <v>30</v>
      </c>
      <c r="J434" s="17" t="e">
        <f ca="1" t="shared" si="26"/>
        <v>#N/A</v>
      </c>
    </row>
    <row r="435" spans="4:10">
      <c r="D435" s="176">
        <v>384</v>
      </c>
      <c r="E435" s="176">
        <f ca="1">OFFSET(养成框架!$R$63,MATCH(D435,养成框架!$D$64:$D$96,1),0)</f>
        <v>0.178571428571429</v>
      </c>
      <c r="F435" s="176">
        <f ca="1" t="shared" si="24"/>
        <v>150.035714285713</v>
      </c>
      <c r="G435" s="197">
        <f ca="1" t="shared" si="23"/>
        <v>150</v>
      </c>
      <c r="H435" s="19">
        <f ca="1" t="shared" si="25"/>
        <v>30</v>
      </c>
      <c r="J435" s="17" t="e">
        <f ca="1" t="shared" si="26"/>
        <v>#N/A</v>
      </c>
    </row>
    <row r="436" spans="4:10">
      <c r="D436" s="176">
        <v>385</v>
      </c>
      <c r="E436" s="176">
        <f ca="1">OFFSET(养成框架!$R$63,MATCH(D436,养成框架!$D$64:$D$96,1),0)</f>
        <v>0.178571428571429</v>
      </c>
      <c r="F436" s="176">
        <f ca="1" t="shared" si="24"/>
        <v>150.214285714285</v>
      </c>
      <c r="G436" s="197">
        <f ca="1" t="shared" ref="G436:G499" si="27">INT(F436)</f>
        <v>150</v>
      </c>
      <c r="H436" s="19">
        <f ca="1" t="shared" si="25"/>
        <v>30</v>
      </c>
      <c r="J436" s="17" t="e">
        <f ca="1" t="shared" si="26"/>
        <v>#N/A</v>
      </c>
    </row>
    <row r="437" spans="4:10">
      <c r="D437" s="176">
        <v>386</v>
      </c>
      <c r="E437" s="176">
        <f ca="1">OFFSET(养成框架!$R$63,MATCH(D437,养成框架!$D$64:$D$96,1),0)</f>
        <v>0.178571428571429</v>
      </c>
      <c r="F437" s="176">
        <f ca="1" t="shared" ref="F437:F500" si="28">E437+F436</f>
        <v>150.392857142856</v>
      </c>
      <c r="G437" s="197">
        <f ca="1" t="shared" si="27"/>
        <v>150</v>
      </c>
      <c r="H437" s="19">
        <f ca="1" t="shared" ref="H437:H500" si="29">OFFSET($L$51,MATCH(F437,$K$52:$K$81,1),0)</f>
        <v>30</v>
      </c>
      <c r="J437" s="17" t="e">
        <f ca="1" t="shared" ref="J437:J500" si="30">OFFSET($L$51,MATCH(I437,$K$52:$K$81,1),0)</f>
        <v>#N/A</v>
      </c>
    </row>
    <row r="438" spans="4:10">
      <c r="D438" s="176">
        <v>387</v>
      </c>
      <c r="E438" s="176">
        <f ca="1">OFFSET(养成框架!$R$63,MATCH(D438,养成框架!$D$64:$D$96,1),0)</f>
        <v>0.178571428571429</v>
      </c>
      <c r="F438" s="176">
        <f ca="1" t="shared" si="28"/>
        <v>150.571428571427</v>
      </c>
      <c r="G438" s="197">
        <f ca="1" t="shared" si="27"/>
        <v>150</v>
      </c>
      <c r="H438" s="19">
        <f ca="1" t="shared" si="29"/>
        <v>30</v>
      </c>
      <c r="J438" s="17" t="e">
        <f ca="1" t="shared" si="30"/>
        <v>#N/A</v>
      </c>
    </row>
    <row r="439" spans="4:10">
      <c r="D439" s="176">
        <v>388</v>
      </c>
      <c r="E439" s="176">
        <f ca="1">OFFSET(养成框架!$R$63,MATCH(D439,养成框架!$D$64:$D$96,1),0)</f>
        <v>0.178571428571429</v>
      </c>
      <c r="F439" s="176">
        <f ca="1" t="shared" si="28"/>
        <v>150.749999999999</v>
      </c>
      <c r="G439" s="197">
        <f ca="1" t="shared" si="27"/>
        <v>150</v>
      </c>
      <c r="H439" s="19">
        <f ca="1" t="shared" si="29"/>
        <v>30</v>
      </c>
      <c r="J439" s="17" t="e">
        <f ca="1" t="shared" si="30"/>
        <v>#N/A</v>
      </c>
    </row>
    <row r="440" spans="4:10">
      <c r="D440" s="176">
        <v>389</v>
      </c>
      <c r="E440" s="176">
        <f ca="1">OFFSET(养成框架!$R$63,MATCH(D440,养成框架!$D$64:$D$96,1),0)</f>
        <v>0.178571428571429</v>
      </c>
      <c r="F440" s="176">
        <f ca="1" t="shared" si="28"/>
        <v>150.92857142857</v>
      </c>
      <c r="G440" s="197">
        <f ca="1" t="shared" si="27"/>
        <v>150</v>
      </c>
      <c r="H440" s="19">
        <f ca="1" t="shared" si="29"/>
        <v>30</v>
      </c>
      <c r="J440" s="17" t="e">
        <f ca="1" t="shared" si="30"/>
        <v>#N/A</v>
      </c>
    </row>
    <row r="441" spans="4:10">
      <c r="D441" s="176">
        <v>390</v>
      </c>
      <c r="E441" s="176">
        <f ca="1">OFFSET(养成框架!$R$63,MATCH(D441,养成框架!$D$64:$D$96,1),0)</f>
        <v>0.178571428571429</v>
      </c>
      <c r="F441" s="176">
        <f ca="1" t="shared" si="28"/>
        <v>151.107142857142</v>
      </c>
      <c r="G441" s="197">
        <f ca="1" t="shared" si="27"/>
        <v>151</v>
      </c>
      <c r="H441" s="19">
        <f ca="1" t="shared" si="29"/>
        <v>30</v>
      </c>
      <c r="J441" s="17" t="e">
        <f ca="1" t="shared" si="30"/>
        <v>#N/A</v>
      </c>
    </row>
    <row r="442" spans="4:10">
      <c r="D442" s="176">
        <v>391</v>
      </c>
      <c r="E442" s="176">
        <f ca="1">OFFSET(养成框架!$R$63,MATCH(D442,养成框架!$D$64:$D$96,1),0)</f>
        <v>0.178571428571429</v>
      </c>
      <c r="F442" s="176">
        <f ca="1" t="shared" si="28"/>
        <v>151.285714285713</v>
      </c>
      <c r="G442" s="197">
        <f ca="1" t="shared" si="27"/>
        <v>151</v>
      </c>
      <c r="H442" s="19">
        <f ca="1" t="shared" si="29"/>
        <v>30</v>
      </c>
      <c r="J442" s="17" t="e">
        <f ca="1" t="shared" si="30"/>
        <v>#N/A</v>
      </c>
    </row>
    <row r="443" spans="4:10">
      <c r="D443" s="176">
        <v>392</v>
      </c>
      <c r="E443" s="176">
        <f ca="1">OFFSET(养成框架!$R$63,MATCH(D443,养成框架!$D$64:$D$96,1),0)</f>
        <v>0.178571428571429</v>
      </c>
      <c r="F443" s="176">
        <f ca="1" t="shared" si="28"/>
        <v>151.464285714285</v>
      </c>
      <c r="G443" s="197">
        <f ca="1" t="shared" si="27"/>
        <v>151</v>
      </c>
      <c r="H443" s="19">
        <f ca="1" t="shared" si="29"/>
        <v>30</v>
      </c>
      <c r="J443" s="17" t="e">
        <f ca="1" t="shared" si="30"/>
        <v>#N/A</v>
      </c>
    </row>
    <row r="444" spans="4:10">
      <c r="D444" s="176">
        <v>393</v>
      </c>
      <c r="E444" s="176">
        <f ca="1">OFFSET(养成框架!$R$63,MATCH(D444,养成框架!$D$64:$D$96,1),0)</f>
        <v>0.178571428571429</v>
      </c>
      <c r="F444" s="176">
        <f ca="1" t="shared" si="28"/>
        <v>151.642857142856</v>
      </c>
      <c r="G444" s="197">
        <f ca="1" t="shared" si="27"/>
        <v>151</v>
      </c>
      <c r="H444" s="19">
        <f ca="1" t="shared" si="29"/>
        <v>30</v>
      </c>
      <c r="J444" s="17" t="e">
        <f ca="1" t="shared" si="30"/>
        <v>#N/A</v>
      </c>
    </row>
    <row r="445" spans="4:10">
      <c r="D445" s="176">
        <v>394</v>
      </c>
      <c r="E445" s="176">
        <f ca="1">OFFSET(养成框架!$R$63,MATCH(D445,养成框架!$D$64:$D$96,1),0)</f>
        <v>0.178571428571429</v>
      </c>
      <c r="F445" s="176">
        <f ca="1" t="shared" si="28"/>
        <v>151.821428571427</v>
      </c>
      <c r="G445" s="197">
        <f ca="1" t="shared" si="27"/>
        <v>151</v>
      </c>
      <c r="H445" s="19">
        <f ca="1" t="shared" si="29"/>
        <v>30</v>
      </c>
      <c r="J445" s="17" t="e">
        <f ca="1" t="shared" si="30"/>
        <v>#N/A</v>
      </c>
    </row>
    <row r="446" spans="4:10">
      <c r="D446" s="176">
        <v>395</v>
      </c>
      <c r="E446" s="176">
        <f ca="1">OFFSET(养成框架!$R$63,MATCH(D446,养成框架!$D$64:$D$96,1),0)</f>
        <v>0.178571428571429</v>
      </c>
      <c r="F446" s="176">
        <f ca="1" t="shared" si="28"/>
        <v>151.999999999999</v>
      </c>
      <c r="G446" s="197">
        <f ca="1" t="shared" si="27"/>
        <v>151</v>
      </c>
      <c r="H446" s="19">
        <f ca="1" t="shared" si="29"/>
        <v>30</v>
      </c>
      <c r="J446" s="17" t="e">
        <f ca="1" t="shared" si="30"/>
        <v>#N/A</v>
      </c>
    </row>
    <row r="447" spans="4:10">
      <c r="D447" s="176">
        <v>396</v>
      </c>
      <c r="E447" s="176">
        <f ca="1">OFFSET(养成框架!$R$63,MATCH(D447,养成框架!$D$64:$D$96,1),0)</f>
        <v>0.178571428571429</v>
      </c>
      <c r="F447" s="176">
        <f ca="1" t="shared" si="28"/>
        <v>152.17857142857</v>
      </c>
      <c r="G447" s="197">
        <f ca="1" t="shared" si="27"/>
        <v>152</v>
      </c>
      <c r="H447" s="19">
        <f ca="1" t="shared" si="29"/>
        <v>30</v>
      </c>
      <c r="J447" s="17" t="e">
        <f ca="1" t="shared" si="30"/>
        <v>#N/A</v>
      </c>
    </row>
    <row r="448" spans="4:10">
      <c r="D448" s="176">
        <v>397</v>
      </c>
      <c r="E448" s="176">
        <f ca="1">OFFSET(养成框架!$R$63,MATCH(D448,养成框架!$D$64:$D$96,1),0)</f>
        <v>0.178571428571429</v>
      </c>
      <c r="F448" s="176">
        <f ca="1" t="shared" si="28"/>
        <v>152.357142857142</v>
      </c>
      <c r="G448" s="197">
        <f ca="1" t="shared" si="27"/>
        <v>152</v>
      </c>
      <c r="H448" s="19">
        <f ca="1" t="shared" si="29"/>
        <v>30</v>
      </c>
      <c r="J448" s="17" t="e">
        <f ca="1" t="shared" si="30"/>
        <v>#N/A</v>
      </c>
    </row>
    <row r="449" spans="4:10">
      <c r="D449" s="176">
        <v>398</v>
      </c>
      <c r="E449" s="176">
        <f ca="1">OFFSET(养成框架!$R$63,MATCH(D449,养成框架!$D$64:$D$96,1),0)</f>
        <v>0.178571428571429</v>
      </c>
      <c r="F449" s="176">
        <f ca="1" t="shared" si="28"/>
        <v>152.535714285713</v>
      </c>
      <c r="G449" s="197">
        <f ca="1" t="shared" si="27"/>
        <v>152</v>
      </c>
      <c r="H449" s="19">
        <f ca="1" t="shared" si="29"/>
        <v>30</v>
      </c>
      <c r="J449" s="17" t="e">
        <f ca="1" t="shared" si="30"/>
        <v>#N/A</v>
      </c>
    </row>
    <row r="450" spans="4:10">
      <c r="D450" s="176">
        <v>399</v>
      </c>
      <c r="E450" s="176">
        <f ca="1">OFFSET(养成框架!$R$63,MATCH(D450,养成框架!$D$64:$D$96,1),0)</f>
        <v>0.178571428571429</v>
      </c>
      <c r="F450" s="176">
        <f ca="1" t="shared" si="28"/>
        <v>152.714285714284</v>
      </c>
      <c r="G450" s="197">
        <f ca="1" t="shared" si="27"/>
        <v>152</v>
      </c>
      <c r="H450" s="19">
        <f ca="1" t="shared" si="29"/>
        <v>30</v>
      </c>
      <c r="J450" s="17" t="e">
        <f ca="1" t="shared" si="30"/>
        <v>#N/A</v>
      </c>
    </row>
    <row r="451" spans="4:10">
      <c r="D451" s="176">
        <v>400</v>
      </c>
      <c r="E451" s="176">
        <f ca="1">OFFSET(养成框架!$R$63,MATCH(D451,养成框架!$D$64:$D$96,1),0)</f>
        <v>0.178571428571429</v>
      </c>
      <c r="F451" s="176">
        <f ca="1" t="shared" si="28"/>
        <v>152.892857142856</v>
      </c>
      <c r="G451" s="197">
        <f ca="1" t="shared" si="27"/>
        <v>152</v>
      </c>
      <c r="H451" s="19">
        <f ca="1" t="shared" si="29"/>
        <v>30</v>
      </c>
      <c r="J451" s="17" t="e">
        <f ca="1" t="shared" si="30"/>
        <v>#N/A</v>
      </c>
    </row>
    <row r="452" spans="4:10">
      <c r="D452" s="176">
        <v>401</v>
      </c>
      <c r="E452" s="176">
        <f ca="1">OFFSET(养成框架!$R$63,MATCH(D452,养成框架!$D$64:$D$96,1),0)</f>
        <v>0.178571428571429</v>
      </c>
      <c r="F452" s="176">
        <f ca="1" t="shared" si="28"/>
        <v>153.071428571427</v>
      </c>
      <c r="G452" s="197">
        <f ca="1" t="shared" si="27"/>
        <v>153</v>
      </c>
      <c r="H452" s="19">
        <f ca="1" t="shared" si="29"/>
        <v>30</v>
      </c>
      <c r="J452" s="17" t="e">
        <f ca="1" t="shared" si="30"/>
        <v>#N/A</v>
      </c>
    </row>
    <row r="453" spans="4:10">
      <c r="D453" s="176">
        <v>402</v>
      </c>
      <c r="E453" s="176">
        <f ca="1">OFFSET(养成框架!$R$63,MATCH(D453,养成框架!$D$64:$D$96,1),0)</f>
        <v>0.178571428571429</v>
      </c>
      <c r="F453" s="176">
        <f ca="1" t="shared" si="28"/>
        <v>153.249999999999</v>
      </c>
      <c r="G453" s="197">
        <f ca="1" t="shared" si="27"/>
        <v>153</v>
      </c>
      <c r="H453" s="19">
        <f ca="1" t="shared" si="29"/>
        <v>30</v>
      </c>
      <c r="J453" s="17" t="e">
        <f ca="1" t="shared" si="30"/>
        <v>#N/A</v>
      </c>
    </row>
    <row r="454" spans="4:10">
      <c r="D454" s="176">
        <v>403</v>
      </c>
      <c r="E454" s="176">
        <f ca="1">OFFSET(养成框架!$R$63,MATCH(D454,养成框架!$D$64:$D$96,1),0)</f>
        <v>0.178571428571429</v>
      </c>
      <c r="F454" s="176">
        <f ca="1" t="shared" si="28"/>
        <v>153.42857142857</v>
      </c>
      <c r="G454" s="197">
        <f ca="1" t="shared" si="27"/>
        <v>153</v>
      </c>
      <c r="H454" s="19">
        <f ca="1" t="shared" si="29"/>
        <v>30</v>
      </c>
      <c r="J454" s="17" t="e">
        <f ca="1" t="shared" si="30"/>
        <v>#N/A</v>
      </c>
    </row>
    <row r="455" spans="4:10">
      <c r="D455" s="176">
        <v>404</v>
      </c>
      <c r="E455" s="176">
        <f ca="1">OFFSET(养成框架!$R$63,MATCH(D455,养成框架!$D$64:$D$96,1),0)</f>
        <v>0.178571428571429</v>
      </c>
      <c r="F455" s="176">
        <f ca="1" t="shared" si="28"/>
        <v>153.607142857141</v>
      </c>
      <c r="G455" s="197">
        <f ca="1" t="shared" si="27"/>
        <v>153</v>
      </c>
      <c r="H455" s="19">
        <f ca="1" t="shared" si="29"/>
        <v>30</v>
      </c>
      <c r="J455" s="17" t="e">
        <f ca="1" t="shared" si="30"/>
        <v>#N/A</v>
      </c>
    </row>
    <row r="456" spans="4:10">
      <c r="D456" s="176">
        <v>405</v>
      </c>
      <c r="E456" s="176">
        <f ca="1">OFFSET(养成框架!$R$63,MATCH(D456,养成框架!$D$64:$D$96,1),0)</f>
        <v>0.178571428571429</v>
      </c>
      <c r="F456" s="176">
        <f ca="1" t="shared" si="28"/>
        <v>153.785714285713</v>
      </c>
      <c r="G456" s="197">
        <f ca="1" t="shared" si="27"/>
        <v>153</v>
      </c>
      <c r="H456" s="19">
        <f ca="1" t="shared" si="29"/>
        <v>30</v>
      </c>
      <c r="J456" s="17" t="e">
        <f ca="1" t="shared" si="30"/>
        <v>#N/A</v>
      </c>
    </row>
    <row r="457" spans="4:10">
      <c r="D457" s="176">
        <v>406</v>
      </c>
      <c r="E457" s="176">
        <f ca="1">OFFSET(养成框架!$R$63,MATCH(D457,养成框架!$D$64:$D$96,1),0)</f>
        <v>0.178571428571429</v>
      </c>
      <c r="F457" s="176">
        <f ca="1" t="shared" si="28"/>
        <v>153.964285714284</v>
      </c>
      <c r="G457" s="197">
        <f ca="1" t="shared" si="27"/>
        <v>153</v>
      </c>
      <c r="H457" s="19">
        <f ca="1" t="shared" si="29"/>
        <v>30</v>
      </c>
      <c r="J457" s="17" t="e">
        <f ca="1" t="shared" si="30"/>
        <v>#N/A</v>
      </c>
    </row>
    <row r="458" spans="4:10">
      <c r="D458" s="176">
        <v>407</v>
      </c>
      <c r="E458" s="176">
        <f ca="1">OFFSET(养成框架!$R$63,MATCH(D458,养成框架!$D$64:$D$96,1),0)</f>
        <v>0.178571428571429</v>
      </c>
      <c r="F458" s="176">
        <f ca="1" t="shared" si="28"/>
        <v>154.142857142856</v>
      </c>
      <c r="G458" s="197">
        <f ca="1" t="shared" si="27"/>
        <v>154</v>
      </c>
      <c r="H458" s="19">
        <f ca="1" t="shared" si="29"/>
        <v>30</v>
      </c>
      <c r="J458" s="17" t="e">
        <f ca="1" t="shared" si="30"/>
        <v>#N/A</v>
      </c>
    </row>
    <row r="459" spans="4:10">
      <c r="D459" s="176">
        <v>408</v>
      </c>
      <c r="E459" s="176">
        <f ca="1">OFFSET(养成框架!$R$63,MATCH(D459,养成框架!$D$64:$D$96,1),0)</f>
        <v>0.178571428571429</v>
      </c>
      <c r="F459" s="176">
        <f ca="1" t="shared" si="28"/>
        <v>154.321428571427</v>
      </c>
      <c r="G459" s="197">
        <f ca="1" t="shared" si="27"/>
        <v>154</v>
      </c>
      <c r="H459" s="19">
        <f ca="1" t="shared" si="29"/>
        <v>30</v>
      </c>
      <c r="J459" s="17" t="e">
        <f ca="1" t="shared" si="30"/>
        <v>#N/A</v>
      </c>
    </row>
    <row r="460" spans="4:10">
      <c r="D460" s="176">
        <v>409</v>
      </c>
      <c r="E460" s="176">
        <f ca="1">OFFSET(养成框架!$R$63,MATCH(D460,养成框架!$D$64:$D$96,1),0)</f>
        <v>0.178571428571429</v>
      </c>
      <c r="F460" s="176">
        <f ca="1" t="shared" si="28"/>
        <v>154.499999999999</v>
      </c>
      <c r="G460" s="197">
        <f ca="1" t="shared" si="27"/>
        <v>154</v>
      </c>
      <c r="H460" s="19">
        <f ca="1" t="shared" si="29"/>
        <v>30</v>
      </c>
      <c r="J460" s="17" t="e">
        <f ca="1" t="shared" si="30"/>
        <v>#N/A</v>
      </c>
    </row>
    <row r="461" spans="4:10">
      <c r="D461" s="176">
        <v>410</v>
      </c>
      <c r="E461" s="176">
        <f ca="1">OFFSET(养成框架!$R$63,MATCH(D461,养成框架!$D$64:$D$96,1),0)</f>
        <v>0.178571428571429</v>
      </c>
      <c r="F461" s="176">
        <f ca="1" t="shared" si="28"/>
        <v>154.67857142857</v>
      </c>
      <c r="G461" s="197">
        <f ca="1" t="shared" si="27"/>
        <v>154</v>
      </c>
      <c r="H461" s="19">
        <f ca="1" t="shared" si="29"/>
        <v>30</v>
      </c>
      <c r="J461" s="17" t="e">
        <f ca="1" t="shared" si="30"/>
        <v>#N/A</v>
      </c>
    </row>
    <row r="462" spans="4:10">
      <c r="D462" s="176">
        <v>411</v>
      </c>
      <c r="E462" s="176">
        <f ca="1">OFFSET(养成框架!$R$63,MATCH(D462,养成框架!$D$64:$D$96,1),0)</f>
        <v>0.178571428571429</v>
      </c>
      <c r="F462" s="176">
        <f ca="1" t="shared" si="28"/>
        <v>154.857142857141</v>
      </c>
      <c r="G462" s="197">
        <f ca="1" t="shared" si="27"/>
        <v>154</v>
      </c>
      <c r="H462" s="19">
        <f ca="1" t="shared" si="29"/>
        <v>30</v>
      </c>
      <c r="J462" s="17" t="e">
        <f ca="1" t="shared" si="30"/>
        <v>#N/A</v>
      </c>
    </row>
    <row r="463" spans="4:10">
      <c r="D463" s="176">
        <v>412</v>
      </c>
      <c r="E463" s="176">
        <f ca="1">OFFSET(养成框架!$R$63,MATCH(D463,养成框架!$D$64:$D$96,1),0)</f>
        <v>0.178571428571429</v>
      </c>
      <c r="F463" s="176">
        <f ca="1" t="shared" si="28"/>
        <v>155.035714285713</v>
      </c>
      <c r="G463" s="197">
        <f ca="1" t="shared" si="27"/>
        <v>155</v>
      </c>
      <c r="H463" s="19">
        <f ca="1" t="shared" si="29"/>
        <v>30</v>
      </c>
      <c r="J463" s="17" t="e">
        <f ca="1" t="shared" si="30"/>
        <v>#N/A</v>
      </c>
    </row>
    <row r="464" spans="4:10">
      <c r="D464" s="176">
        <v>413</v>
      </c>
      <c r="E464" s="176">
        <f ca="1">OFFSET(养成框架!$R$63,MATCH(D464,养成框架!$D$64:$D$96,1),0)</f>
        <v>0.178571428571429</v>
      </c>
      <c r="F464" s="176">
        <f ca="1" t="shared" si="28"/>
        <v>155.214285714284</v>
      </c>
      <c r="G464" s="197">
        <f ca="1" t="shared" si="27"/>
        <v>155</v>
      </c>
      <c r="H464" s="19">
        <f ca="1" t="shared" si="29"/>
        <v>30</v>
      </c>
      <c r="J464" s="17" t="e">
        <f ca="1" t="shared" si="30"/>
        <v>#N/A</v>
      </c>
    </row>
    <row r="465" spans="4:10">
      <c r="D465" s="176">
        <v>414</v>
      </c>
      <c r="E465" s="176">
        <f ca="1">OFFSET(养成框架!$R$63,MATCH(D465,养成框架!$D$64:$D$96,1),0)</f>
        <v>0.178571428571429</v>
      </c>
      <c r="F465" s="176">
        <f ca="1" t="shared" si="28"/>
        <v>155.392857142856</v>
      </c>
      <c r="G465" s="197">
        <f ca="1" t="shared" si="27"/>
        <v>155</v>
      </c>
      <c r="H465" s="19">
        <f ca="1" t="shared" si="29"/>
        <v>30</v>
      </c>
      <c r="J465" s="17" t="e">
        <f ca="1" t="shared" si="30"/>
        <v>#N/A</v>
      </c>
    </row>
    <row r="466" spans="4:10">
      <c r="D466" s="176">
        <v>415</v>
      </c>
      <c r="E466" s="176">
        <f ca="1">OFFSET(养成框架!$R$63,MATCH(D466,养成框架!$D$64:$D$96,1),0)</f>
        <v>0.178571428571429</v>
      </c>
      <c r="F466" s="176">
        <f ca="1" t="shared" si="28"/>
        <v>155.571428571427</v>
      </c>
      <c r="G466" s="197">
        <f ca="1" t="shared" si="27"/>
        <v>155</v>
      </c>
      <c r="H466" s="19">
        <f ca="1" t="shared" si="29"/>
        <v>30</v>
      </c>
      <c r="J466" s="17" t="e">
        <f ca="1" t="shared" si="30"/>
        <v>#N/A</v>
      </c>
    </row>
    <row r="467" spans="4:10">
      <c r="D467" s="176">
        <v>416</v>
      </c>
      <c r="E467" s="176">
        <f ca="1">OFFSET(养成框架!$R$63,MATCH(D467,养成框架!$D$64:$D$96,1),0)</f>
        <v>0.178571428571429</v>
      </c>
      <c r="F467" s="176">
        <f ca="1" t="shared" si="28"/>
        <v>155.749999999998</v>
      </c>
      <c r="G467" s="197">
        <f ca="1" t="shared" si="27"/>
        <v>155</v>
      </c>
      <c r="H467" s="19">
        <f ca="1" t="shared" si="29"/>
        <v>30</v>
      </c>
      <c r="J467" s="17" t="e">
        <f ca="1" t="shared" si="30"/>
        <v>#N/A</v>
      </c>
    </row>
    <row r="468" spans="4:10">
      <c r="D468" s="176">
        <v>417</v>
      </c>
      <c r="E468" s="176">
        <f ca="1">OFFSET(养成框架!$R$63,MATCH(D468,养成框架!$D$64:$D$96,1),0)</f>
        <v>0.178571428571429</v>
      </c>
      <c r="F468" s="176">
        <f ca="1" t="shared" si="28"/>
        <v>155.92857142857</v>
      </c>
      <c r="G468" s="197">
        <f ca="1" t="shared" si="27"/>
        <v>155</v>
      </c>
      <c r="H468" s="19">
        <f ca="1" t="shared" si="29"/>
        <v>30</v>
      </c>
      <c r="J468" s="17" t="e">
        <f ca="1" t="shared" si="30"/>
        <v>#N/A</v>
      </c>
    </row>
    <row r="469" spans="4:10">
      <c r="D469" s="176">
        <v>418</v>
      </c>
      <c r="E469" s="176">
        <f ca="1">OFFSET(养成框架!$R$63,MATCH(D469,养成框架!$D$64:$D$96,1),0)</f>
        <v>0.178571428571429</v>
      </c>
      <c r="F469" s="176">
        <f ca="1" t="shared" si="28"/>
        <v>156.107142857141</v>
      </c>
      <c r="G469" s="197">
        <f ca="1" t="shared" si="27"/>
        <v>156</v>
      </c>
      <c r="H469" s="19">
        <f ca="1" t="shared" si="29"/>
        <v>30</v>
      </c>
      <c r="J469" s="17" t="e">
        <f ca="1" t="shared" si="30"/>
        <v>#N/A</v>
      </c>
    </row>
    <row r="470" spans="4:10">
      <c r="D470" s="176">
        <v>419</v>
      </c>
      <c r="E470" s="176">
        <f ca="1">OFFSET(养成框架!$R$63,MATCH(D470,养成框架!$D$64:$D$96,1),0)</f>
        <v>0.178571428571429</v>
      </c>
      <c r="F470" s="176">
        <f ca="1" t="shared" si="28"/>
        <v>156.285714285713</v>
      </c>
      <c r="G470" s="197">
        <f ca="1" t="shared" si="27"/>
        <v>156</v>
      </c>
      <c r="H470" s="19">
        <f ca="1" t="shared" si="29"/>
        <v>30</v>
      </c>
      <c r="J470" s="17" t="e">
        <f ca="1" t="shared" si="30"/>
        <v>#N/A</v>
      </c>
    </row>
    <row r="471" spans="4:10">
      <c r="D471" s="176">
        <v>420</v>
      </c>
      <c r="E471" s="176">
        <f ca="1">OFFSET(养成框架!$R$63,MATCH(D471,养成框架!$D$64:$D$96,1),0)</f>
        <v>0.178571428571429</v>
      </c>
      <c r="F471" s="176">
        <f ca="1" t="shared" si="28"/>
        <v>156.464285714284</v>
      </c>
      <c r="G471" s="197">
        <f ca="1" t="shared" si="27"/>
        <v>156</v>
      </c>
      <c r="H471" s="19">
        <f ca="1" t="shared" si="29"/>
        <v>30</v>
      </c>
      <c r="J471" s="17" t="e">
        <f ca="1" t="shared" si="30"/>
        <v>#N/A</v>
      </c>
    </row>
    <row r="472" spans="4:10">
      <c r="D472" s="176">
        <v>421</v>
      </c>
      <c r="E472" s="176">
        <f ca="1">OFFSET(养成框架!$R$63,MATCH(D472,养成框架!$D$64:$D$96,1),0)</f>
        <v>0.178571428571429</v>
      </c>
      <c r="F472" s="176">
        <f ca="1" t="shared" si="28"/>
        <v>156.642857142856</v>
      </c>
      <c r="G472" s="197">
        <f ca="1" t="shared" si="27"/>
        <v>156</v>
      </c>
      <c r="H472" s="19">
        <f ca="1" t="shared" si="29"/>
        <v>30</v>
      </c>
      <c r="J472" s="17" t="e">
        <f ca="1" t="shared" si="30"/>
        <v>#N/A</v>
      </c>
    </row>
    <row r="473" spans="4:10">
      <c r="D473" s="176">
        <v>422</v>
      </c>
      <c r="E473" s="176">
        <f ca="1">OFFSET(养成框架!$R$63,MATCH(D473,养成框架!$D$64:$D$96,1),0)</f>
        <v>0.178571428571429</v>
      </c>
      <c r="F473" s="176">
        <f ca="1" t="shared" si="28"/>
        <v>156.821428571427</v>
      </c>
      <c r="G473" s="197">
        <f ca="1" t="shared" si="27"/>
        <v>156</v>
      </c>
      <c r="H473" s="19">
        <f ca="1" t="shared" si="29"/>
        <v>30</v>
      </c>
      <c r="J473" s="17" t="e">
        <f ca="1" t="shared" si="30"/>
        <v>#N/A</v>
      </c>
    </row>
    <row r="474" spans="4:10">
      <c r="D474" s="176">
        <v>423</v>
      </c>
      <c r="E474" s="176">
        <f ca="1">OFFSET(养成框架!$R$63,MATCH(D474,养成框架!$D$64:$D$96,1),0)</f>
        <v>0.178571428571429</v>
      </c>
      <c r="F474" s="176">
        <f ca="1" t="shared" si="28"/>
        <v>156.999999999998</v>
      </c>
      <c r="G474" s="197">
        <f ca="1" t="shared" si="27"/>
        <v>156</v>
      </c>
      <c r="H474" s="19">
        <f ca="1" t="shared" si="29"/>
        <v>30</v>
      </c>
      <c r="J474" s="17" t="e">
        <f ca="1" t="shared" si="30"/>
        <v>#N/A</v>
      </c>
    </row>
    <row r="475" spans="4:10">
      <c r="D475" s="176">
        <v>424</v>
      </c>
      <c r="E475" s="176">
        <f ca="1">OFFSET(养成框架!$R$63,MATCH(D475,养成框架!$D$64:$D$96,1),0)</f>
        <v>0.178571428571429</v>
      </c>
      <c r="F475" s="176">
        <f ca="1" t="shared" si="28"/>
        <v>157.17857142857</v>
      </c>
      <c r="G475" s="197">
        <f ca="1" t="shared" si="27"/>
        <v>157</v>
      </c>
      <c r="H475" s="19">
        <f ca="1" t="shared" si="29"/>
        <v>30</v>
      </c>
      <c r="J475" s="17" t="e">
        <f ca="1" t="shared" si="30"/>
        <v>#N/A</v>
      </c>
    </row>
    <row r="476" spans="4:10">
      <c r="D476" s="176">
        <v>425</v>
      </c>
      <c r="E476" s="176">
        <f ca="1">OFFSET(养成框架!$R$63,MATCH(D476,养成框架!$D$64:$D$96,1),0)</f>
        <v>0.178571428571429</v>
      </c>
      <c r="F476" s="176">
        <f ca="1" t="shared" si="28"/>
        <v>157.357142857141</v>
      </c>
      <c r="G476" s="197">
        <f ca="1" t="shared" si="27"/>
        <v>157</v>
      </c>
      <c r="H476" s="19">
        <f ca="1" t="shared" si="29"/>
        <v>30</v>
      </c>
      <c r="J476" s="17" t="e">
        <f ca="1" t="shared" si="30"/>
        <v>#N/A</v>
      </c>
    </row>
    <row r="477" spans="4:10">
      <c r="D477" s="176">
        <v>426</v>
      </c>
      <c r="E477" s="176">
        <f ca="1">OFFSET(养成框架!$R$63,MATCH(D477,养成框架!$D$64:$D$96,1),0)</f>
        <v>0.178571428571429</v>
      </c>
      <c r="F477" s="176">
        <f ca="1" t="shared" si="28"/>
        <v>157.535714285713</v>
      </c>
      <c r="G477" s="197">
        <f ca="1" t="shared" si="27"/>
        <v>157</v>
      </c>
      <c r="H477" s="19">
        <f ca="1" t="shared" si="29"/>
        <v>30</v>
      </c>
      <c r="J477" s="17" t="e">
        <f ca="1" t="shared" si="30"/>
        <v>#N/A</v>
      </c>
    </row>
    <row r="478" spans="4:10">
      <c r="D478" s="176">
        <v>427</v>
      </c>
      <c r="E478" s="176">
        <f ca="1">OFFSET(养成框架!$R$63,MATCH(D478,养成框架!$D$64:$D$96,1),0)</f>
        <v>0.178571428571429</v>
      </c>
      <c r="F478" s="176">
        <f ca="1" t="shared" si="28"/>
        <v>157.714285714284</v>
      </c>
      <c r="G478" s="197">
        <f ca="1" t="shared" si="27"/>
        <v>157</v>
      </c>
      <c r="H478" s="19">
        <f ca="1" t="shared" si="29"/>
        <v>30</v>
      </c>
      <c r="J478" s="17" t="e">
        <f ca="1" t="shared" si="30"/>
        <v>#N/A</v>
      </c>
    </row>
    <row r="479" spans="4:10">
      <c r="D479" s="176">
        <v>428</v>
      </c>
      <c r="E479" s="176">
        <f ca="1">OFFSET(养成框架!$R$63,MATCH(D479,养成框架!$D$64:$D$96,1),0)</f>
        <v>0.178571428571429</v>
      </c>
      <c r="F479" s="176">
        <f ca="1" t="shared" si="28"/>
        <v>157.892857142855</v>
      </c>
      <c r="G479" s="197">
        <f ca="1" t="shared" si="27"/>
        <v>157</v>
      </c>
      <c r="H479" s="19">
        <f ca="1" t="shared" si="29"/>
        <v>30</v>
      </c>
      <c r="J479" s="17" t="e">
        <f ca="1" t="shared" si="30"/>
        <v>#N/A</v>
      </c>
    </row>
    <row r="480" spans="4:10">
      <c r="D480" s="176">
        <v>429</v>
      </c>
      <c r="E480" s="176">
        <f ca="1">OFFSET(养成框架!$R$63,MATCH(D480,养成框架!$D$64:$D$96,1),0)</f>
        <v>0.178571428571429</v>
      </c>
      <c r="F480" s="176">
        <f ca="1" t="shared" si="28"/>
        <v>158.071428571427</v>
      </c>
      <c r="G480" s="197">
        <f ca="1" t="shared" si="27"/>
        <v>158</v>
      </c>
      <c r="H480" s="19">
        <f ca="1" t="shared" si="29"/>
        <v>30</v>
      </c>
      <c r="J480" s="17" t="e">
        <f ca="1" t="shared" si="30"/>
        <v>#N/A</v>
      </c>
    </row>
    <row r="481" spans="4:10">
      <c r="D481" s="176">
        <v>430</v>
      </c>
      <c r="E481" s="176">
        <f ca="1">OFFSET(养成框架!$R$63,MATCH(D481,养成框架!$D$64:$D$96,1),0)</f>
        <v>0.178571428571429</v>
      </c>
      <c r="F481" s="176">
        <f ca="1" t="shared" si="28"/>
        <v>158.249999999998</v>
      </c>
      <c r="G481" s="197">
        <f ca="1" t="shared" si="27"/>
        <v>158</v>
      </c>
      <c r="H481" s="19">
        <f ca="1" t="shared" si="29"/>
        <v>30</v>
      </c>
      <c r="J481" s="17" t="e">
        <f ca="1" t="shared" si="30"/>
        <v>#N/A</v>
      </c>
    </row>
    <row r="482" spans="4:10">
      <c r="D482" s="176">
        <v>431</v>
      </c>
      <c r="E482" s="176">
        <f ca="1">OFFSET(养成框架!$R$63,MATCH(D482,养成框架!$D$64:$D$96,1),0)</f>
        <v>0.178571428571429</v>
      </c>
      <c r="F482" s="176">
        <f ca="1" t="shared" si="28"/>
        <v>158.42857142857</v>
      </c>
      <c r="G482" s="197">
        <f ca="1" t="shared" si="27"/>
        <v>158</v>
      </c>
      <c r="H482" s="19">
        <f ca="1" t="shared" si="29"/>
        <v>30</v>
      </c>
      <c r="J482" s="17" t="e">
        <f ca="1" t="shared" si="30"/>
        <v>#N/A</v>
      </c>
    </row>
    <row r="483" spans="4:10">
      <c r="D483" s="176">
        <v>432</v>
      </c>
      <c r="E483" s="176">
        <f ca="1">OFFSET(养成框架!$R$63,MATCH(D483,养成框架!$D$64:$D$96,1),0)</f>
        <v>0.178571428571429</v>
      </c>
      <c r="F483" s="176">
        <f ca="1" t="shared" si="28"/>
        <v>158.607142857141</v>
      </c>
      <c r="G483" s="197">
        <f ca="1" t="shared" si="27"/>
        <v>158</v>
      </c>
      <c r="H483" s="19">
        <f ca="1" t="shared" si="29"/>
        <v>30</v>
      </c>
      <c r="J483" s="17" t="e">
        <f ca="1" t="shared" si="30"/>
        <v>#N/A</v>
      </c>
    </row>
    <row r="484" spans="4:10">
      <c r="D484" s="176">
        <v>433</v>
      </c>
      <c r="E484" s="176">
        <f ca="1">OFFSET(养成框架!$R$63,MATCH(D484,养成框架!$D$64:$D$96,1),0)</f>
        <v>0.178571428571429</v>
      </c>
      <c r="F484" s="176">
        <f ca="1" t="shared" si="28"/>
        <v>158.785714285713</v>
      </c>
      <c r="G484" s="197">
        <f ca="1" t="shared" si="27"/>
        <v>158</v>
      </c>
      <c r="H484" s="19">
        <f ca="1" t="shared" si="29"/>
        <v>30</v>
      </c>
      <c r="J484" s="17" t="e">
        <f ca="1" t="shared" si="30"/>
        <v>#N/A</v>
      </c>
    </row>
    <row r="485" spans="4:10">
      <c r="D485" s="176">
        <v>434</v>
      </c>
      <c r="E485" s="176">
        <f ca="1">OFFSET(养成框架!$R$63,MATCH(D485,养成框架!$D$64:$D$96,1),0)</f>
        <v>0.178571428571429</v>
      </c>
      <c r="F485" s="176">
        <f ca="1" t="shared" si="28"/>
        <v>158.964285714284</v>
      </c>
      <c r="G485" s="197">
        <f ca="1" t="shared" si="27"/>
        <v>158</v>
      </c>
      <c r="H485" s="19">
        <f ca="1" t="shared" si="29"/>
        <v>30</v>
      </c>
      <c r="J485" s="17" t="e">
        <f ca="1" t="shared" si="30"/>
        <v>#N/A</v>
      </c>
    </row>
    <row r="486" spans="4:10">
      <c r="D486" s="176">
        <v>435</v>
      </c>
      <c r="E486" s="176">
        <f ca="1">OFFSET(养成框架!$R$63,MATCH(D486,养成框架!$D$64:$D$96,1),0)</f>
        <v>0.178571428571429</v>
      </c>
      <c r="F486" s="176">
        <f ca="1" t="shared" si="28"/>
        <v>159.142857142855</v>
      </c>
      <c r="G486" s="197">
        <f ca="1" t="shared" si="27"/>
        <v>159</v>
      </c>
      <c r="H486" s="19">
        <f ca="1" t="shared" si="29"/>
        <v>30</v>
      </c>
      <c r="J486" s="17" t="e">
        <f ca="1" t="shared" si="30"/>
        <v>#N/A</v>
      </c>
    </row>
    <row r="487" spans="4:10">
      <c r="D487" s="176">
        <v>436</v>
      </c>
      <c r="E487" s="176">
        <f ca="1">OFFSET(养成框架!$R$63,MATCH(D487,养成框架!$D$64:$D$96,1),0)</f>
        <v>0.178571428571429</v>
      </c>
      <c r="F487" s="176">
        <f ca="1" t="shared" si="28"/>
        <v>159.321428571427</v>
      </c>
      <c r="G487" s="197">
        <f ca="1" t="shared" si="27"/>
        <v>159</v>
      </c>
      <c r="H487" s="19">
        <f ca="1" t="shared" si="29"/>
        <v>30</v>
      </c>
      <c r="J487" s="17" t="e">
        <f ca="1" t="shared" si="30"/>
        <v>#N/A</v>
      </c>
    </row>
    <row r="488" spans="4:10">
      <c r="D488" s="176">
        <v>437</v>
      </c>
      <c r="E488" s="176">
        <f ca="1">OFFSET(养成框架!$R$63,MATCH(D488,养成框架!$D$64:$D$96,1),0)</f>
        <v>0.178571428571429</v>
      </c>
      <c r="F488" s="176">
        <f ca="1" t="shared" si="28"/>
        <v>159.499999999998</v>
      </c>
      <c r="G488" s="197">
        <f ca="1" t="shared" si="27"/>
        <v>159</v>
      </c>
      <c r="H488" s="19">
        <f ca="1" t="shared" si="29"/>
        <v>30</v>
      </c>
      <c r="J488" s="17" t="e">
        <f ca="1" t="shared" si="30"/>
        <v>#N/A</v>
      </c>
    </row>
    <row r="489" spans="4:10">
      <c r="D489" s="176">
        <v>438</v>
      </c>
      <c r="E489" s="176">
        <f ca="1">OFFSET(养成框架!$R$63,MATCH(D489,养成框架!$D$64:$D$96,1),0)</f>
        <v>0.178571428571429</v>
      </c>
      <c r="F489" s="176">
        <f ca="1" t="shared" si="28"/>
        <v>159.67857142857</v>
      </c>
      <c r="G489" s="197">
        <f ca="1" t="shared" si="27"/>
        <v>159</v>
      </c>
      <c r="H489" s="19">
        <f ca="1" t="shared" si="29"/>
        <v>30</v>
      </c>
      <c r="J489" s="17" t="e">
        <f ca="1" t="shared" si="30"/>
        <v>#N/A</v>
      </c>
    </row>
    <row r="490" spans="4:10">
      <c r="D490" s="176">
        <v>439</v>
      </c>
      <c r="E490" s="176">
        <f ca="1">OFFSET(养成框架!$R$63,MATCH(D490,养成框架!$D$64:$D$96,1),0)</f>
        <v>0.178571428571429</v>
      </c>
      <c r="F490" s="176">
        <f ca="1" t="shared" si="28"/>
        <v>159.857142857141</v>
      </c>
      <c r="G490" s="197">
        <f ca="1" t="shared" si="27"/>
        <v>159</v>
      </c>
      <c r="H490" s="19">
        <f ca="1" t="shared" si="29"/>
        <v>30</v>
      </c>
      <c r="J490" s="17" t="e">
        <f ca="1" t="shared" si="30"/>
        <v>#N/A</v>
      </c>
    </row>
    <row r="491" spans="4:10">
      <c r="D491" s="176">
        <v>440</v>
      </c>
      <c r="E491" s="176">
        <f ca="1">OFFSET(养成框架!$R$63,MATCH(D491,养成框架!$D$64:$D$96,1),0)</f>
        <v>0.178571428571429</v>
      </c>
      <c r="F491" s="176">
        <f ca="1" t="shared" si="28"/>
        <v>160.035714285712</v>
      </c>
      <c r="G491" s="197">
        <f ca="1" t="shared" si="27"/>
        <v>160</v>
      </c>
      <c r="H491" s="19">
        <f ca="1" t="shared" si="29"/>
        <v>30</v>
      </c>
      <c r="J491" s="17" t="e">
        <f ca="1" t="shared" si="30"/>
        <v>#N/A</v>
      </c>
    </row>
    <row r="492" spans="4:10">
      <c r="D492" s="176">
        <v>441</v>
      </c>
      <c r="E492" s="176">
        <f ca="1">OFFSET(养成框架!$R$63,MATCH(D492,养成框架!$D$64:$D$96,1),0)</f>
        <v>0.178571428571429</v>
      </c>
      <c r="F492" s="176">
        <f ca="1" t="shared" si="28"/>
        <v>160.214285714284</v>
      </c>
      <c r="G492" s="197">
        <f ca="1" t="shared" si="27"/>
        <v>160</v>
      </c>
      <c r="H492" s="19">
        <f ca="1" t="shared" si="29"/>
        <v>30</v>
      </c>
      <c r="J492" s="17" t="e">
        <f ca="1" t="shared" si="30"/>
        <v>#N/A</v>
      </c>
    </row>
    <row r="493" spans="4:10">
      <c r="D493" s="176">
        <v>442</v>
      </c>
      <c r="E493" s="176">
        <f ca="1">OFFSET(养成框架!$R$63,MATCH(D493,养成框架!$D$64:$D$96,1),0)</f>
        <v>0.178571428571429</v>
      </c>
      <c r="F493" s="176">
        <f ca="1" t="shared" si="28"/>
        <v>160.392857142855</v>
      </c>
      <c r="G493" s="197">
        <f ca="1" t="shared" si="27"/>
        <v>160</v>
      </c>
      <c r="H493" s="19">
        <f ca="1" t="shared" si="29"/>
        <v>30</v>
      </c>
      <c r="J493" s="17" t="e">
        <f ca="1" t="shared" si="30"/>
        <v>#N/A</v>
      </c>
    </row>
    <row r="494" spans="4:10">
      <c r="D494" s="176">
        <v>443</v>
      </c>
      <c r="E494" s="176">
        <f ca="1">OFFSET(养成框架!$R$63,MATCH(D494,养成框架!$D$64:$D$96,1),0)</f>
        <v>0.178571428571429</v>
      </c>
      <c r="F494" s="176">
        <f ca="1" t="shared" si="28"/>
        <v>160.571428571427</v>
      </c>
      <c r="G494" s="197">
        <f ca="1" t="shared" si="27"/>
        <v>160</v>
      </c>
      <c r="H494" s="19">
        <f ca="1" t="shared" si="29"/>
        <v>30</v>
      </c>
      <c r="J494" s="17" t="e">
        <f ca="1" t="shared" si="30"/>
        <v>#N/A</v>
      </c>
    </row>
    <row r="495" spans="4:10">
      <c r="D495" s="176">
        <v>444</v>
      </c>
      <c r="E495" s="176">
        <f ca="1">OFFSET(养成框架!$R$63,MATCH(D495,养成框架!$D$64:$D$96,1),0)</f>
        <v>0.178571428571429</v>
      </c>
      <c r="F495" s="176">
        <f ca="1" t="shared" si="28"/>
        <v>160.749999999998</v>
      </c>
      <c r="G495" s="197">
        <f ca="1" t="shared" si="27"/>
        <v>160</v>
      </c>
      <c r="H495" s="19">
        <f ca="1" t="shared" si="29"/>
        <v>30</v>
      </c>
      <c r="J495" s="17" t="e">
        <f ca="1" t="shared" si="30"/>
        <v>#N/A</v>
      </c>
    </row>
    <row r="496" spans="4:10">
      <c r="D496" s="176">
        <v>445</v>
      </c>
      <c r="E496" s="176">
        <f ca="1">OFFSET(养成框架!$R$63,MATCH(D496,养成框架!$D$64:$D$96,1),0)</f>
        <v>0.178571428571429</v>
      </c>
      <c r="F496" s="176">
        <f ca="1" t="shared" si="28"/>
        <v>160.92857142857</v>
      </c>
      <c r="G496" s="197">
        <f ca="1" t="shared" si="27"/>
        <v>160</v>
      </c>
      <c r="H496" s="19">
        <f ca="1" t="shared" si="29"/>
        <v>30</v>
      </c>
      <c r="J496" s="17" t="e">
        <f ca="1" t="shared" si="30"/>
        <v>#N/A</v>
      </c>
    </row>
    <row r="497" spans="4:10">
      <c r="D497" s="176">
        <v>446</v>
      </c>
      <c r="E497" s="176">
        <f ca="1">OFFSET(养成框架!$R$63,MATCH(D497,养成框架!$D$64:$D$96,1),0)</f>
        <v>0.178571428571429</v>
      </c>
      <c r="F497" s="176">
        <f ca="1" t="shared" si="28"/>
        <v>161.107142857141</v>
      </c>
      <c r="G497" s="197">
        <f ca="1" t="shared" si="27"/>
        <v>161</v>
      </c>
      <c r="H497" s="19">
        <f ca="1" t="shared" si="29"/>
        <v>30</v>
      </c>
      <c r="J497" s="17" t="e">
        <f ca="1" t="shared" si="30"/>
        <v>#N/A</v>
      </c>
    </row>
    <row r="498" spans="4:10">
      <c r="D498" s="176">
        <v>447</v>
      </c>
      <c r="E498" s="176">
        <f ca="1">OFFSET(养成框架!$R$63,MATCH(D498,养成框架!$D$64:$D$96,1),0)</f>
        <v>0.178571428571429</v>
      </c>
      <c r="F498" s="176">
        <f ca="1" t="shared" si="28"/>
        <v>161.285714285712</v>
      </c>
      <c r="G498" s="197">
        <f ca="1" t="shared" si="27"/>
        <v>161</v>
      </c>
      <c r="H498" s="19">
        <f ca="1" t="shared" si="29"/>
        <v>30</v>
      </c>
      <c r="J498" s="17" t="e">
        <f ca="1" t="shared" si="30"/>
        <v>#N/A</v>
      </c>
    </row>
    <row r="499" spans="4:10">
      <c r="D499" s="176">
        <v>448</v>
      </c>
      <c r="E499" s="176">
        <f ca="1">OFFSET(养成框架!$R$63,MATCH(D499,养成框架!$D$64:$D$96,1),0)</f>
        <v>0.178571428571429</v>
      </c>
      <c r="F499" s="176">
        <f ca="1" t="shared" si="28"/>
        <v>161.464285714284</v>
      </c>
      <c r="G499" s="197">
        <f ca="1" t="shared" si="27"/>
        <v>161</v>
      </c>
      <c r="H499" s="19">
        <f ca="1" t="shared" si="29"/>
        <v>30</v>
      </c>
      <c r="J499" s="17" t="e">
        <f ca="1" t="shared" si="30"/>
        <v>#N/A</v>
      </c>
    </row>
    <row r="500" spans="4:10">
      <c r="D500" s="176">
        <v>449</v>
      </c>
      <c r="E500" s="176">
        <f ca="1">OFFSET(养成框架!$R$63,MATCH(D500,养成框架!$D$64:$D$96,1),0)</f>
        <v>0.178571428571429</v>
      </c>
      <c r="F500" s="176">
        <f ca="1" t="shared" si="28"/>
        <v>161.642857142855</v>
      </c>
      <c r="G500" s="197">
        <f ca="1" t="shared" ref="G500:G551" si="31">INT(F500)</f>
        <v>161</v>
      </c>
      <c r="H500" s="19">
        <f ca="1" t="shared" si="29"/>
        <v>30</v>
      </c>
      <c r="J500" s="17" t="e">
        <f ca="1" t="shared" si="30"/>
        <v>#N/A</v>
      </c>
    </row>
    <row r="501" spans="4:10">
      <c r="D501" s="176">
        <v>450</v>
      </c>
      <c r="E501" s="176">
        <f ca="1">OFFSET(养成框架!$R$63,MATCH(D501,养成框架!$D$64:$D$96,1),0)</f>
        <v>0.178571428571429</v>
      </c>
      <c r="F501" s="176">
        <f ca="1" t="shared" ref="F501:F551" si="32">E501+F500</f>
        <v>161.821428571427</v>
      </c>
      <c r="G501" s="197">
        <f ca="1" t="shared" si="31"/>
        <v>161</v>
      </c>
      <c r="H501" s="19">
        <f ca="1" t="shared" ref="H501:H551" si="33">OFFSET($L$51,MATCH(F501,$K$52:$K$81,1),0)</f>
        <v>30</v>
      </c>
      <c r="J501" s="17" t="e">
        <f ca="1" t="shared" ref="J501:J551" si="34">OFFSET($L$51,MATCH(I501,$K$52:$K$81,1),0)</f>
        <v>#N/A</v>
      </c>
    </row>
    <row r="502" spans="4:10">
      <c r="D502" s="176">
        <v>451</v>
      </c>
      <c r="E502" s="176">
        <f ca="1">OFFSET(养成框架!$R$63,MATCH(D502,养成框架!$D$64:$D$96,1),0)</f>
        <v>0.178571428571429</v>
      </c>
      <c r="F502" s="176">
        <f ca="1" t="shared" si="32"/>
        <v>161.999999999998</v>
      </c>
      <c r="G502" s="197">
        <f ca="1" t="shared" si="31"/>
        <v>161</v>
      </c>
      <c r="H502" s="19">
        <f ca="1" t="shared" si="33"/>
        <v>30</v>
      </c>
      <c r="J502" s="17" t="e">
        <f ca="1" t="shared" si="34"/>
        <v>#N/A</v>
      </c>
    </row>
    <row r="503" spans="4:10">
      <c r="D503" s="176">
        <v>452</v>
      </c>
      <c r="E503" s="176">
        <f ca="1">OFFSET(养成框架!$R$63,MATCH(D503,养成框架!$D$64:$D$96,1),0)</f>
        <v>0.178571428571429</v>
      </c>
      <c r="F503" s="176">
        <f ca="1" t="shared" si="32"/>
        <v>162.178571428569</v>
      </c>
      <c r="G503" s="197">
        <f ca="1" t="shared" si="31"/>
        <v>162</v>
      </c>
      <c r="H503" s="19">
        <f ca="1" t="shared" si="33"/>
        <v>30</v>
      </c>
      <c r="J503" s="17" t="e">
        <f ca="1" t="shared" si="34"/>
        <v>#N/A</v>
      </c>
    </row>
    <row r="504" spans="4:10">
      <c r="D504" s="176">
        <v>453</v>
      </c>
      <c r="E504" s="176">
        <f ca="1">OFFSET(养成框架!$R$63,MATCH(D504,养成框架!$D$64:$D$96,1),0)</f>
        <v>0.178571428571429</v>
      </c>
      <c r="F504" s="176">
        <f ca="1" t="shared" si="32"/>
        <v>162.357142857141</v>
      </c>
      <c r="G504" s="197">
        <f ca="1" t="shared" si="31"/>
        <v>162</v>
      </c>
      <c r="H504" s="19">
        <f ca="1" t="shared" si="33"/>
        <v>30</v>
      </c>
      <c r="J504" s="17" t="e">
        <f ca="1" t="shared" si="34"/>
        <v>#N/A</v>
      </c>
    </row>
    <row r="505" spans="4:10">
      <c r="D505" s="176">
        <v>454</v>
      </c>
      <c r="E505" s="176">
        <f ca="1">OFFSET(养成框架!$R$63,MATCH(D505,养成框架!$D$64:$D$96,1),0)</f>
        <v>0.178571428571429</v>
      </c>
      <c r="F505" s="176">
        <f ca="1" t="shared" si="32"/>
        <v>162.535714285712</v>
      </c>
      <c r="G505" s="197">
        <f ca="1" t="shared" si="31"/>
        <v>162</v>
      </c>
      <c r="H505" s="19">
        <f ca="1" t="shared" si="33"/>
        <v>30</v>
      </c>
      <c r="J505" s="17" t="e">
        <f ca="1" t="shared" si="34"/>
        <v>#N/A</v>
      </c>
    </row>
    <row r="506" spans="4:10">
      <c r="D506" s="176">
        <v>455</v>
      </c>
      <c r="E506" s="176">
        <f ca="1">OFFSET(养成框架!$R$63,MATCH(D506,养成框架!$D$64:$D$96,1),0)</f>
        <v>0.178571428571429</v>
      </c>
      <c r="F506" s="176">
        <f ca="1" t="shared" si="32"/>
        <v>162.714285714284</v>
      </c>
      <c r="G506" s="197">
        <f ca="1" t="shared" si="31"/>
        <v>162</v>
      </c>
      <c r="H506" s="19">
        <f ca="1" t="shared" si="33"/>
        <v>30</v>
      </c>
      <c r="J506" s="17" t="e">
        <f ca="1" t="shared" si="34"/>
        <v>#N/A</v>
      </c>
    </row>
    <row r="507" spans="4:10">
      <c r="D507" s="176">
        <v>456</v>
      </c>
      <c r="E507" s="176">
        <f ca="1">OFFSET(养成框架!$R$63,MATCH(D507,养成框架!$D$64:$D$96,1),0)</f>
        <v>0.178571428571429</v>
      </c>
      <c r="F507" s="176">
        <f ca="1" t="shared" si="32"/>
        <v>162.892857142855</v>
      </c>
      <c r="G507" s="197">
        <f ca="1" t="shared" si="31"/>
        <v>162</v>
      </c>
      <c r="H507" s="19">
        <f ca="1" t="shared" si="33"/>
        <v>30</v>
      </c>
      <c r="J507" s="17" t="e">
        <f ca="1" t="shared" si="34"/>
        <v>#N/A</v>
      </c>
    </row>
    <row r="508" spans="4:10">
      <c r="D508" s="176">
        <v>457</v>
      </c>
      <c r="E508" s="176">
        <f ca="1">OFFSET(养成框架!$R$63,MATCH(D508,养成框架!$D$64:$D$96,1),0)</f>
        <v>0.178571428571429</v>
      </c>
      <c r="F508" s="176">
        <f ca="1" t="shared" si="32"/>
        <v>163.071428571427</v>
      </c>
      <c r="G508" s="197">
        <f ca="1" t="shared" si="31"/>
        <v>163</v>
      </c>
      <c r="H508" s="19">
        <f ca="1" t="shared" si="33"/>
        <v>30</v>
      </c>
      <c r="J508" s="17" t="e">
        <f ca="1" t="shared" si="34"/>
        <v>#N/A</v>
      </c>
    </row>
    <row r="509" spans="4:10">
      <c r="D509" s="176">
        <v>458</v>
      </c>
      <c r="E509" s="176">
        <f ca="1">OFFSET(养成框架!$R$63,MATCH(D509,养成框架!$D$64:$D$96,1),0)</f>
        <v>0.178571428571429</v>
      </c>
      <c r="F509" s="176">
        <f ca="1" t="shared" si="32"/>
        <v>163.249999999998</v>
      </c>
      <c r="G509" s="197">
        <f ca="1" t="shared" si="31"/>
        <v>163</v>
      </c>
      <c r="H509" s="19">
        <f ca="1" t="shared" si="33"/>
        <v>30</v>
      </c>
      <c r="J509" s="17" t="e">
        <f ca="1" t="shared" si="34"/>
        <v>#N/A</v>
      </c>
    </row>
    <row r="510" spans="4:10">
      <c r="D510" s="176">
        <v>459</v>
      </c>
      <c r="E510" s="176">
        <f ca="1">OFFSET(养成框架!$R$63,MATCH(D510,养成框架!$D$64:$D$96,1),0)</f>
        <v>0.178571428571429</v>
      </c>
      <c r="F510" s="176">
        <f ca="1" t="shared" si="32"/>
        <v>163.428571428569</v>
      </c>
      <c r="G510" s="197">
        <f ca="1" t="shared" si="31"/>
        <v>163</v>
      </c>
      <c r="H510" s="19">
        <f ca="1" t="shared" si="33"/>
        <v>30</v>
      </c>
      <c r="J510" s="17" t="e">
        <f ca="1" t="shared" si="34"/>
        <v>#N/A</v>
      </c>
    </row>
    <row r="511" spans="4:10">
      <c r="D511" s="176">
        <v>460</v>
      </c>
      <c r="E511" s="176">
        <f ca="1">OFFSET(养成框架!$R$63,MATCH(D511,养成框架!$D$64:$D$96,1),0)</f>
        <v>0.178571428571429</v>
      </c>
      <c r="F511" s="176">
        <f ca="1" t="shared" si="32"/>
        <v>163.607142857141</v>
      </c>
      <c r="G511" s="197">
        <f ca="1" t="shared" si="31"/>
        <v>163</v>
      </c>
      <c r="H511" s="19">
        <f ca="1" t="shared" si="33"/>
        <v>30</v>
      </c>
      <c r="J511" s="17" t="e">
        <f ca="1" t="shared" si="34"/>
        <v>#N/A</v>
      </c>
    </row>
    <row r="512" spans="4:10">
      <c r="D512" s="176">
        <v>461</v>
      </c>
      <c r="E512" s="176">
        <f ca="1">OFFSET(养成框架!$R$63,MATCH(D512,养成框架!$D$64:$D$96,1),0)</f>
        <v>0.178571428571429</v>
      </c>
      <c r="F512" s="176">
        <f ca="1" t="shared" si="32"/>
        <v>163.785714285712</v>
      </c>
      <c r="G512" s="197">
        <f ca="1" t="shared" si="31"/>
        <v>163</v>
      </c>
      <c r="H512" s="19">
        <f ca="1" t="shared" si="33"/>
        <v>30</v>
      </c>
      <c r="J512" s="17" t="e">
        <f ca="1" t="shared" si="34"/>
        <v>#N/A</v>
      </c>
    </row>
    <row r="513" spans="4:10">
      <c r="D513" s="176">
        <v>462</v>
      </c>
      <c r="E513" s="176">
        <f ca="1">OFFSET(养成框架!$R$63,MATCH(D513,养成框架!$D$64:$D$96,1),0)</f>
        <v>0.178571428571429</v>
      </c>
      <c r="F513" s="176">
        <f ca="1" t="shared" si="32"/>
        <v>163.964285714284</v>
      </c>
      <c r="G513" s="197">
        <f ca="1" t="shared" si="31"/>
        <v>163</v>
      </c>
      <c r="H513" s="19">
        <f ca="1" t="shared" si="33"/>
        <v>30</v>
      </c>
      <c r="J513" s="17" t="e">
        <f ca="1" t="shared" si="34"/>
        <v>#N/A</v>
      </c>
    </row>
    <row r="514" spans="4:10">
      <c r="D514" s="176">
        <v>463</v>
      </c>
      <c r="E514" s="176">
        <f ca="1">OFFSET(养成框架!$R$63,MATCH(D514,养成框架!$D$64:$D$96,1),0)</f>
        <v>0.178571428571429</v>
      </c>
      <c r="F514" s="176">
        <f ca="1" t="shared" si="32"/>
        <v>164.142857142855</v>
      </c>
      <c r="G514" s="197">
        <f ca="1" t="shared" si="31"/>
        <v>164</v>
      </c>
      <c r="H514" s="19">
        <f ca="1" t="shared" si="33"/>
        <v>30</v>
      </c>
      <c r="J514" s="17" t="e">
        <f ca="1" t="shared" si="34"/>
        <v>#N/A</v>
      </c>
    </row>
    <row r="515" spans="4:10">
      <c r="D515" s="176">
        <v>464</v>
      </c>
      <c r="E515" s="176">
        <f ca="1">OFFSET(养成框架!$R$63,MATCH(D515,养成框架!$D$64:$D$96,1),0)</f>
        <v>0.178571428571429</v>
      </c>
      <c r="F515" s="176">
        <f ca="1" t="shared" si="32"/>
        <v>164.321428571426</v>
      </c>
      <c r="G515" s="197">
        <f ca="1" t="shared" si="31"/>
        <v>164</v>
      </c>
      <c r="H515" s="19">
        <f ca="1" t="shared" si="33"/>
        <v>30</v>
      </c>
      <c r="J515" s="17" t="e">
        <f ca="1" t="shared" si="34"/>
        <v>#N/A</v>
      </c>
    </row>
    <row r="516" spans="4:10">
      <c r="D516" s="176">
        <v>465</v>
      </c>
      <c r="E516" s="176">
        <f ca="1">OFFSET(养成框架!$R$63,MATCH(D516,养成框架!$D$64:$D$96,1),0)</f>
        <v>0.178571428571429</v>
      </c>
      <c r="F516" s="176">
        <f ca="1" t="shared" si="32"/>
        <v>164.499999999998</v>
      </c>
      <c r="G516" s="197">
        <f ca="1" t="shared" si="31"/>
        <v>164</v>
      </c>
      <c r="H516" s="19">
        <f ca="1" t="shared" si="33"/>
        <v>30</v>
      </c>
      <c r="J516" s="17" t="e">
        <f ca="1" t="shared" si="34"/>
        <v>#N/A</v>
      </c>
    </row>
    <row r="517" spans="4:10">
      <c r="D517" s="176">
        <v>466</v>
      </c>
      <c r="E517" s="176">
        <f ca="1">OFFSET(养成框架!$R$63,MATCH(D517,养成框架!$D$64:$D$96,1),0)</f>
        <v>0.178571428571429</v>
      </c>
      <c r="F517" s="176">
        <f ca="1" t="shared" si="32"/>
        <v>164.678571428569</v>
      </c>
      <c r="G517" s="197">
        <f ca="1" t="shared" si="31"/>
        <v>164</v>
      </c>
      <c r="H517" s="19">
        <f ca="1" t="shared" si="33"/>
        <v>30</v>
      </c>
      <c r="J517" s="17" t="e">
        <f ca="1" t="shared" si="34"/>
        <v>#N/A</v>
      </c>
    </row>
    <row r="518" spans="4:10">
      <c r="D518" s="176">
        <v>467</v>
      </c>
      <c r="E518" s="176">
        <f ca="1">OFFSET(养成框架!$R$63,MATCH(D518,养成框架!$D$64:$D$96,1),0)</f>
        <v>0.178571428571429</v>
      </c>
      <c r="F518" s="176">
        <f ca="1" t="shared" si="32"/>
        <v>164.857142857141</v>
      </c>
      <c r="G518" s="197">
        <f ca="1" t="shared" si="31"/>
        <v>164</v>
      </c>
      <c r="H518" s="19">
        <f ca="1" t="shared" si="33"/>
        <v>30</v>
      </c>
      <c r="J518" s="17" t="e">
        <f ca="1" t="shared" si="34"/>
        <v>#N/A</v>
      </c>
    </row>
    <row r="519" spans="4:10">
      <c r="D519" s="176">
        <v>468</v>
      </c>
      <c r="E519" s="176">
        <f ca="1">OFFSET(养成框架!$R$63,MATCH(D519,养成框架!$D$64:$D$96,1),0)</f>
        <v>0.178571428571429</v>
      </c>
      <c r="F519" s="176">
        <f ca="1" t="shared" si="32"/>
        <v>165.035714285712</v>
      </c>
      <c r="G519" s="197">
        <f ca="1" t="shared" si="31"/>
        <v>165</v>
      </c>
      <c r="H519" s="19">
        <f ca="1" t="shared" si="33"/>
        <v>30</v>
      </c>
      <c r="J519" s="17" t="e">
        <f ca="1" t="shared" si="34"/>
        <v>#N/A</v>
      </c>
    </row>
    <row r="520" spans="4:10">
      <c r="D520" s="176">
        <v>469</v>
      </c>
      <c r="E520" s="176">
        <f ca="1">OFFSET(养成框架!$R$63,MATCH(D520,养成框架!$D$64:$D$96,1),0)</f>
        <v>0.178571428571429</v>
      </c>
      <c r="F520" s="176">
        <f ca="1" t="shared" si="32"/>
        <v>165.214285714284</v>
      </c>
      <c r="G520" s="197">
        <f ca="1" t="shared" si="31"/>
        <v>165</v>
      </c>
      <c r="H520" s="19">
        <f ca="1" t="shared" si="33"/>
        <v>30</v>
      </c>
      <c r="J520" s="17" t="e">
        <f ca="1" t="shared" si="34"/>
        <v>#N/A</v>
      </c>
    </row>
    <row r="521" spans="4:10">
      <c r="D521" s="176">
        <v>470</v>
      </c>
      <c r="E521" s="176">
        <f ca="1">OFFSET(养成框架!$R$63,MATCH(D521,养成框架!$D$64:$D$96,1),0)</f>
        <v>0.178571428571429</v>
      </c>
      <c r="F521" s="176">
        <f ca="1" t="shared" si="32"/>
        <v>165.392857142855</v>
      </c>
      <c r="G521" s="197">
        <f ca="1" t="shared" si="31"/>
        <v>165</v>
      </c>
      <c r="H521" s="19">
        <f ca="1" t="shared" si="33"/>
        <v>30</v>
      </c>
      <c r="J521" s="17" t="e">
        <f ca="1" t="shared" si="34"/>
        <v>#N/A</v>
      </c>
    </row>
    <row r="522" spans="4:10">
      <c r="D522" s="176">
        <v>471</v>
      </c>
      <c r="E522" s="176">
        <f ca="1">OFFSET(养成框架!$R$63,MATCH(D522,养成框架!$D$64:$D$96,1),0)</f>
        <v>0.178571428571429</v>
      </c>
      <c r="F522" s="176">
        <f ca="1" t="shared" si="32"/>
        <v>165.571428571426</v>
      </c>
      <c r="G522" s="197">
        <f ca="1" t="shared" si="31"/>
        <v>165</v>
      </c>
      <c r="H522" s="19">
        <f ca="1" t="shared" si="33"/>
        <v>30</v>
      </c>
      <c r="J522" s="17" t="e">
        <f ca="1" t="shared" si="34"/>
        <v>#N/A</v>
      </c>
    </row>
    <row r="523" spans="4:10">
      <c r="D523" s="176">
        <v>472</v>
      </c>
      <c r="E523" s="176">
        <f ca="1">OFFSET(养成框架!$R$63,MATCH(D523,养成框架!$D$64:$D$96,1),0)</f>
        <v>0.178571428571429</v>
      </c>
      <c r="F523" s="176">
        <f ca="1" t="shared" si="32"/>
        <v>165.749999999998</v>
      </c>
      <c r="G523" s="197">
        <f ca="1" t="shared" si="31"/>
        <v>165</v>
      </c>
      <c r="H523" s="19">
        <f ca="1" t="shared" si="33"/>
        <v>30</v>
      </c>
      <c r="J523" s="17" t="e">
        <f ca="1" t="shared" si="34"/>
        <v>#N/A</v>
      </c>
    </row>
    <row r="524" spans="4:10">
      <c r="D524" s="176">
        <v>473</v>
      </c>
      <c r="E524" s="176">
        <f ca="1">OFFSET(养成框架!$R$63,MATCH(D524,养成框架!$D$64:$D$96,1),0)</f>
        <v>0.178571428571429</v>
      </c>
      <c r="F524" s="176">
        <f ca="1" t="shared" si="32"/>
        <v>165.928571428569</v>
      </c>
      <c r="G524" s="197">
        <f ca="1" t="shared" si="31"/>
        <v>165</v>
      </c>
      <c r="H524" s="19">
        <f ca="1" t="shared" si="33"/>
        <v>30</v>
      </c>
      <c r="J524" s="17" t="e">
        <f ca="1" t="shared" si="34"/>
        <v>#N/A</v>
      </c>
    </row>
    <row r="525" spans="4:10">
      <c r="D525" s="176">
        <v>474</v>
      </c>
      <c r="E525" s="176">
        <f ca="1">OFFSET(养成框架!$R$63,MATCH(D525,养成框架!$D$64:$D$96,1),0)</f>
        <v>0.178571428571429</v>
      </c>
      <c r="F525" s="176">
        <f ca="1" t="shared" si="32"/>
        <v>166.107142857141</v>
      </c>
      <c r="G525" s="197">
        <f ca="1" t="shared" si="31"/>
        <v>166</v>
      </c>
      <c r="H525" s="19">
        <f ca="1" t="shared" si="33"/>
        <v>30</v>
      </c>
      <c r="J525" s="17" t="e">
        <f ca="1" t="shared" si="34"/>
        <v>#N/A</v>
      </c>
    </row>
    <row r="526" spans="4:10">
      <c r="D526" s="176">
        <v>475</v>
      </c>
      <c r="E526" s="176">
        <f ca="1">OFFSET(养成框架!$R$63,MATCH(D526,养成框架!$D$64:$D$96,1),0)</f>
        <v>0.178571428571429</v>
      </c>
      <c r="F526" s="176">
        <f ca="1" t="shared" si="32"/>
        <v>166.285714285712</v>
      </c>
      <c r="G526" s="197">
        <f ca="1" t="shared" si="31"/>
        <v>166</v>
      </c>
      <c r="H526" s="19">
        <f ca="1" t="shared" si="33"/>
        <v>30</v>
      </c>
      <c r="J526" s="17" t="e">
        <f ca="1" t="shared" si="34"/>
        <v>#N/A</v>
      </c>
    </row>
    <row r="527" spans="4:10">
      <c r="D527" s="176">
        <v>476</v>
      </c>
      <c r="E527" s="176">
        <f ca="1">OFFSET(养成框架!$R$63,MATCH(D527,养成框架!$D$64:$D$96,1),0)</f>
        <v>0.178571428571429</v>
      </c>
      <c r="F527" s="176">
        <f ca="1" t="shared" si="32"/>
        <v>166.464285714283</v>
      </c>
      <c r="G527" s="197">
        <f ca="1" t="shared" si="31"/>
        <v>166</v>
      </c>
      <c r="H527" s="19">
        <f ca="1" t="shared" si="33"/>
        <v>30</v>
      </c>
      <c r="J527" s="17" t="e">
        <f ca="1" t="shared" si="34"/>
        <v>#N/A</v>
      </c>
    </row>
    <row r="528" spans="4:10">
      <c r="D528" s="176">
        <v>477</v>
      </c>
      <c r="E528" s="176">
        <f ca="1">OFFSET(养成框架!$R$63,MATCH(D528,养成框架!$D$64:$D$96,1),0)</f>
        <v>0.178571428571429</v>
      </c>
      <c r="F528" s="176">
        <f ca="1" t="shared" si="32"/>
        <v>166.642857142855</v>
      </c>
      <c r="G528" s="197">
        <f ca="1" t="shared" si="31"/>
        <v>166</v>
      </c>
      <c r="H528" s="19">
        <f ca="1" t="shared" si="33"/>
        <v>30</v>
      </c>
      <c r="J528" s="17" t="e">
        <f ca="1" t="shared" si="34"/>
        <v>#N/A</v>
      </c>
    </row>
    <row r="529" spans="4:10">
      <c r="D529" s="176">
        <v>478</v>
      </c>
      <c r="E529" s="176">
        <f ca="1">OFFSET(养成框架!$R$63,MATCH(D529,养成框架!$D$64:$D$96,1),0)</f>
        <v>0.178571428571429</v>
      </c>
      <c r="F529" s="176">
        <f ca="1" t="shared" si="32"/>
        <v>166.821428571426</v>
      </c>
      <c r="G529" s="197">
        <f ca="1" t="shared" si="31"/>
        <v>166</v>
      </c>
      <c r="H529" s="19">
        <f ca="1" t="shared" si="33"/>
        <v>30</v>
      </c>
      <c r="J529" s="17" t="e">
        <f ca="1" t="shared" si="34"/>
        <v>#N/A</v>
      </c>
    </row>
    <row r="530" spans="4:10">
      <c r="D530" s="176">
        <v>479</v>
      </c>
      <c r="E530" s="176">
        <f ca="1">OFFSET(养成框架!$R$63,MATCH(D530,养成框架!$D$64:$D$96,1),0)</f>
        <v>0.178571428571429</v>
      </c>
      <c r="F530" s="176">
        <f ca="1" t="shared" si="32"/>
        <v>166.999999999998</v>
      </c>
      <c r="G530" s="197">
        <f ca="1" t="shared" si="31"/>
        <v>166</v>
      </c>
      <c r="H530" s="19">
        <f ca="1" t="shared" si="33"/>
        <v>30</v>
      </c>
      <c r="J530" s="17" t="e">
        <f ca="1" t="shared" si="34"/>
        <v>#N/A</v>
      </c>
    </row>
    <row r="531" spans="4:10">
      <c r="D531" s="176">
        <v>480</v>
      </c>
      <c r="E531" s="176">
        <f ca="1">OFFSET(养成框架!$R$63,MATCH(D531,养成框架!$D$64:$D$96,1),0)</f>
        <v>0.178571428571429</v>
      </c>
      <c r="F531" s="176">
        <f ca="1" t="shared" si="32"/>
        <v>167.178571428569</v>
      </c>
      <c r="G531" s="197">
        <f ca="1" t="shared" si="31"/>
        <v>167</v>
      </c>
      <c r="H531" s="19">
        <f ca="1" t="shared" si="33"/>
        <v>30</v>
      </c>
      <c r="J531" s="17" t="e">
        <f ca="1" t="shared" si="34"/>
        <v>#N/A</v>
      </c>
    </row>
    <row r="532" spans="4:10">
      <c r="D532" s="176">
        <v>481</v>
      </c>
      <c r="E532" s="176">
        <f ca="1">OFFSET(养成框架!$R$63,MATCH(D532,养成框架!$D$64:$D$96,1),0)</f>
        <v>0.178571428571429</v>
      </c>
      <c r="F532" s="176">
        <f ca="1" t="shared" si="32"/>
        <v>167.357142857141</v>
      </c>
      <c r="G532" s="197">
        <f ca="1" t="shared" si="31"/>
        <v>167</v>
      </c>
      <c r="H532" s="19">
        <f ca="1" t="shared" si="33"/>
        <v>30</v>
      </c>
      <c r="J532" s="17" t="e">
        <f ca="1" t="shared" si="34"/>
        <v>#N/A</v>
      </c>
    </row>
    <row r="533" spans="4:10">
      <c r="D533" s="176">
        <v>482</v>
      </c>
      <c r="E533" s="176">
        <f ca="1">OFFSET(养成框架!$R$63,MATCH(D533,养成框架!$D$64:$D$96,1),0)</f>
        <v>0.178571428571429</v>
      </c>
      <c r="F533" s="176">
        <f ca="1" t="shared" si="32"/>
        <v>167.535714285712</v>
      </c>
      <c r="G533" s="197">
        <f ca="1" t="shared" si="31"/>
        <v>167</v>
      </c>
      <c r="H533" s="19">
        <f ca="1" t="shared" si="33"/>
        <v>30</v>
      </c>
      <c r="J533" s="17" t="e">
        <f ca="1" t="shared" si="34"/>
        <v>#N/A</v>
      </c>
    </row>
    <row r="534" spans="4:10">
      <c r="D534" s="176">
        <v>483</v>
      </c>
      <c r="E534" s="176">
        <f ca="1">OFFSET(养成框架!$R$63,MATCH(D534,养成框架!$D$64:$D$96,1),0)</f>
        <v>0.178571428571429</v>
      </c>
      <c r="F534" s="176">
        <f ca="1" t="shared" si="32"/>
        <v>167.714285714283</v>
      </c>
      <c r="G534" s="197">
        <f ca="1" t="shared" si="31"/>
        <v>167</v>
      </c>
      <c r="H534" s="19">
        <f ca="1" t="shared" si="33"/>
        <v>30</v>
      </c>
      <c r="J534" s="17" t="e">
        <f ca="1" t="shared" si="34"/>
        <v>#N/A</v>
      </c>
    </row>
    <row r="535" spans="4:10">
      <c r="D535" s="176">
        <v>484</v>
      </c>
      <c r="E535" s="176">
        <f ca="1">OFFSET(养成框架!$R$63,MATCH(D535,养成框架!$D$64:$D$96,1),0)</f>
        <v>0.178571428571429</v>
      </c>
      <c r="F535" s="176">
        <f ca="1" t="shared" si="32"/>
        <v>167.892857142855</v>
      </c>
      <c r="G535" s="197">
        <f ca="1" t="shared" si="31"/>
        <v>167</v>
      </c>
      <c r="H535" s="19">
        <f ca="1" t="shared" si="33"/>
        <v>30</v>
      </c>
      <c r="J535" s="17" t="e">
        <f ca="1" t="shared" si="34"/>
        <v>#N/A</v>
      </c>
    </row>
    <row r="536" spans="4:10">
      <c r="D536" s="176">
        <v>485</v>
      </c>
      <c r="E536" s="176">
        <f ca="1">OFFSET(养成框架!$R$63,MATCH(D536,养成框架!$D$64:$D$96,1),0)</f>
        <v>0.178571428571429</v>
      </c>
      <c r="F536" s="176">
        <f ca="1" t="shared" si="32"/>
        <v>168.071428571426</v>
      </c>
      <c r="G536" s="197">
        <f ca="1" t="shared" si="31"/>
        <v>168</v>
      </c>
      <c r="H536" s="19">
        <f ca="1" t="shared" si="33"/>
        <v>30</v>
      </c>
      <c r="J536" s="17" t="e">
        <f ca="1" t="shared" si="34"/>
        <v>#N/A</v>
      </c>
    </row>
    <row r="537" spans="4:10">
      <c r="D537" s="176">
        <v>486</v>
      </c>
      <c r="E537" s="176">
        <f ca="1">OFFSET(养成框架!$R$63,MATCH(D537,养成框架!$D$64:$D$96,1),0)</f>
        <v>0.178571428571429</v>
      </c>
      <c r="F537" s="176">
        <f ca="1" t="shared" si="32"/>
        <v>168.249999999998</v>
      </c>
      <c r="G537" s="197">
        <f ca="1" t="shared" si="31"/>
        <v>168</v>
      </c>
      <c r="H537" s="19">
        <f ca="1" t="shared" si="33"/>
        <v>30</v>
      </c>
      <c r="J537" s="17" t="e">
        <f ca="1" t="shared" si="34"/>
        <v>#N/A</v>
      </c>
    </row>
    <row r="538" spans="4:10">
      <c r="D538" s="176">
        <v>487</v>
      </c>
      <c r="E538" s="176">
        <f ca="1">OFFSET(养成框架!$R$63,MATCH(D538,养成框架!$D$64:$D$96,1),0)</f>
        <v>0.178571428571429</v>
      </c>
      <c r="F538" s="176">
        <f ca="1" t="shared" si="32"/>
        <v>168.428571428569</v>
      </c>
      <c r="G538" s="197">
        <f ca="1" t="shared" si="31"/>
        <v>168</v>
      </c>
      <c r="H538" s="19">
        <f ca="1" t="shared" si="33"/>
        <v>30</v>
      </c>
      <c r="J538" s="17" t="e">
        <f ca="1" t="shared" si="34"/>
        <v>#N/A</v>
      </c>
    </row>
    <row r="539" spans="4:10">
      <c r="D539" s="176">
        <v>488</v>
      </c>
      <c r="E539" s="176">
        <f ca="1">OFFSET(养成框架!$R$63,MATCH(D539,养成框架!$D$64:$D$96,1),0)</f>
        <v>0.178571428571429</v>
      </c>
      <c r="F539" s="176">
        <f ca="1" t="shared" si="32"/>
        <v>168.60714285714</v>
      </c>
      <c r="G539" s="197">
        <f ca="1" t="shared" si="31"/>
        <v>168</v>
      </c>
      <c r="H539" s="19">
        <f ca="1" t="shared" si="33"/>
        <v>30</v>
      </c>
      <c r="J539" s="17" t="e">
        <f ca="1" t="shared" si="34"/>
        <v>#N/A</v>
      </c>
    </row>
    <row r="540" spans="4:10">
      <c r="D540" s="176">
        <v>489</v>
      </c>
      <c r="E540" s="176">
        <f ca="1">OFFSET(养成框架!$R$63,MATCH(D540,养成框架!$D$64:$D$96,1),0)</f>
        <v>0.178571428571429</v>
      </c>
      <c r="F540" s="176">
        <f ca="1" t="shared" si="32"/>
        <v>168.785714285712</v>
      </c>
      <c r="G540" s="197">
        <f ca="1" t="shared" si="31"/>
        <v>168</v>
      </c>
      <c r="H540" s="19">
        <f ca="1" t="shared" si="33"/>
        <v>30</v>
      </c>
      <c r="J540" s="17" t="e">
        <f ca="1" t="shared" si="34"/>
        <v>#N/A</v>
      </c>
    </row>
    <row r="541" spans="4:10">
      <c r="D541" s="176">
        <v>490</v>
      </c>
      <c r="E541" s="176">
        <f ca="1">OFFSET(养成框架!$R$63,MATCH(D541,养成框架!$D$64:$D$96,1),0)</f>
        <v>0.178571428571429</v>
      </c>
      <c r="F541" s="176">
        <f ca="1" t="shared" si="32"/>
        <v>168.964285714283</v>
      </c>
      <c r="G541" s="197">
        <f ca="1" t="shared" si="31"/>
        <v>168</v>
      </c>
      <c r="H541" s="19">
        <f ca="1" t="shared" si="33"/>
        <v>30</v>
      </c>
      <c r="J541" s="17" t="e">
        <f ca="1" t="shared" si="34"/>
        <v>#N/A</v>
      </c>
    </row>
    <row r="542" spans="4:10">
      <c r="D542" s="176">
        <v>491</v>
      </c>
      <c r="E542" s="176">
        <f ca="1">OFFSET(养成框架!$R$63,MATCH(D542,养成框架!$D$64:$D$96,1),0)</f>
        <v>0.178571428571429</v>
      </c>
      <c r="F542" s="176">
        <f ca="1" t="shared" si="32"/>
        <v>169.142857142855</v>
      </c>
      <c r="G542" s="197">
        <f ca="1" t="shared" si="31"/>
        <v>169</v>
      </c>
      <c r="H542" s="19">
        <f ca="1" t="shared" si="33"/>
        <v>30</v>
      </c>
      <c r="J542" s="17" t="e">
        <f ca="1" t="shared" si="34"/>
        <v>#N/A</v>
      </c>
    </row>
    <row r="543" spans="4:10">
      <c r="D543" s="176">
        <v>492</v>
      </c>
      <c r="E543" s="176">
        <f ca="1">OFFSET(养成框架!$R$63,MATCH(D543,养成框架!$D$64:$D$96,1),0)</f>
        <v>0.178571428571429</v>
      </c>
      <c r="F543" s="176">
        <f ca="1" t="shared" si="32"/>
        <v>169.321428571426</v>
      </c>
      <c r="G543" s="197">
        <f ca="1" t="shared" si="31"/>
        <v>169</v>
      </c>
      <c r="H543" s="19">
        <f ca="1" t="shared" si="33"/>
        <v>30</v>
      </c>
      <c r="J543" s="17" t="e">
        <f ca="1" t="shared" si="34"/>
        <v>#N/A</v>
      </c>
    </row>
    <row r="544" spans="4:10">
      <c r="D544" s="176">
        <v>493</v>
      </c>
      <c r="E544" s="176">
        <f ca="1">OFFSET(养成框架!$R$63,MATCH(D544,养成框架!$D$64:$D$96,1),0)</f>
        <v>0.178571428571429</v>
      </c>
      <c r="F544" s="176">
        <f ca="1" t="shared" si="32"/>
        <v>169.499999999998</v>
      </c>
      <c r="G544" s="197">
        <f ca="1" t="shared" si="31"/>
        <v>169</v>
      </c>
      <c r="H544" s="19">
        <f ca="1" t="shared" si="33"/>
        <v>30</v>
      </c>
      <c r="J544" s="17" t="e">
        <f ca="1" t="shared" si="34"/>
        <v>#N/A</v>
      </c>
    </row>
    <row r="545" spans="4:10">
      <c r="D545" s="176">
        <v>494</v>
      </c>
      <c r="E545" s="176">
        <f ca="1">OFFSET(养成框架!$R$63,MATCH(D545,养成框架!$D$64:$D$96,1),0)</f>
        <v>0.178571428571429</v>
      </c>
      <c r="F545" s="176">
        <f ca="1" t="shared" si="32"/>
        <v>169.678571428569</v>
      </c>
      <c r="G545" s="197">
        <f ca="1" t="shared" si="31"/>
        <v>169</v>
      </c>
      <c r="H545" s="19">
        <f ca="1" t="shared" si="33"/>
        <v>30</v>
      </c>
      <c r="J545" s="17" t="e">
        <f ca="1" t="shared" si="34"/>
        <v>#N/A</v>
      </c>
    </row>
    <row r="546" spans="4:10">
      <c r="D546" s="176">
        <v>495</v>
      </c>
      <c r="E546" s="176">
        <f ca="1">OFFSET(养成框架!$R$63,MATCH(D546,养成框架!$D$64:$D$96,1),0)</f>
        <v>0.178571428571429</v>
      </c>
      <c r="F546" s="176">
        <f ca="1" t="shared" si="32"/>
        <v>169.85714285714</v>
      </c>
      <c r="G546" s="197">
        <f ca="1" t="shared" si="31"/>
        <v>169</v>
      </c>
      <c r="H546" s="19">
        <f ca="1" t="shared" si="33"/>
        <v>30</v>
      </c>
      <c r="J546" s="17" t="e">
        <f ca="1" t="shared" si="34"/>
        <v>#N/A</v>
      </c>
    </row>
    <row r="547" spans="4:10">
      <c r="D547" s="176">
        <v>496</v>
      </c>
      <c r="E547" s="176">
        <f ca="1">OFFSET(养成框架!$R$63,MATCH(D547,养成框架!$D$64:$D$96,1),0)</f>
        <v>0.178571428571429</v>
      </c>
      <c r="F547" s="176">
        <f ca="1" t="shared" si="32"/>
        <v>170.035714285712</v>
      </c>
      <c r="G547" s="197">
        <f ca="1" t="shared" si="31"/>
        <v>170</v>
      </c>
      <c r="H547" s="19">
        <f ca="1" t="shared" si="33"/>
        <v>30</v>
      </c>
      <c r="J547" s="17" t="e">
        <f ca="1" t="shared" si="34"/>
        <v>#N/A</v>
      </c>
    </row>
    <row r="548" spans="4:10">
      <c r="D548" s="176">
        <v>497</v>
      </c>
      <c r="E548" s="176">
        <f ca="1">OFFSET(养成框架!$R$63,MATCH(D548,养成框架!$D$64:$D$96,1),0)</f>
        <v>0.178571428571429</v>
      </c>
      <c r="F548" s="176">
        <f ca="1" t="shared" si="32"/>
        <v>170.214285714283</v>
      </c>
      <c r="G548" s="197">
        <f ca="1" t="shared" si="31"/>
        <v>170</v>
      </c>
      <c r="H548" s="19">
        <f ca="1" t="shared" si="33"/>
        <v>30</v>
      </c>
      <c r="J548" s="17" t="e">
        <f ca="1" t="shared" si="34"/>
        <v>#N/A</v>
      </c>
    </row>
    <row r="549" spans="4:10">
      <c r="D549" s="176">
        <v>498</v>
      </c>
      <c r="E549" s="176">
        <f ca="1">OFFSET(养成框架!$R$63,MATCH(D549,养成框架!$D$64:$D$96,1),0)</f>
        <v>0.178571428571429</v>
      </c>
      <c r="F549" s="176">
        <f ca="1" t="shared" si="32"/>
        <v>170.392857142855</v>
      </c>
      <c r="G549" s="197">
        <f ca="1" t="shared" si="31"/>
        <v>170</v>
      </c>
      <c r="H549" s="19">
        <f ca="1" t="shared" si="33"/>
        <v>30</v>
      </c>
      <c r="J549" s="17" t="e">
        <f ca="1" t="shared" si="34"/>
        <v>#N/A</v>
      </c>
    </row>
    <row r="550" spans="4:10">
      <c r="D550" s="176">
        <v>499</v>
      </c>
      <c r="E550" s="176">
        <f ca="1">OFFSET(养成框架!$R$63,MATCH(D550,养成框架!$D$64:$D$96,1),0)</f>
        <v>0.178571428571429</v>
      </c>
      <c r="F550" s="176">
        <f ca="1" t="shared" si="32"/>
        <v>170.571428571426</v>
      </c>
      <c r="G550" s="197">
        <f ca="1" t="shared" si="31"/>
        <v>170</v>
      </c>
      <c r="H550" s="19">
        <f ca="1" t="shared" si="33"/>
        <v>30</v>
      </c>
      <c r="J550" s="17" t="e">
        <f ca="1" t="shared" si="34"/>
        <v>#N/A</v>
      </c>
    </row>
    <row r="551" spans="4:10">
      <c r="D551" s="176">
        <v>500</v>
      </c>
      <c r="E551" s="176">
        <f ca="1">OFFSET(养成框架!$R$63,MATCH(D551,养成框架!$D$64:$D$96,1),0)</f>
        <v>0.178571428571429</v>
      </c>
      <c r="F551" s="176">
        <f ca="1" t="shared" si="32"/>
        <v>170.749999999997</v>
      </c>
      <c r="G551" s="197">
        <f ca="1" t="shared" si="31"/>
        <v>170</v>
      </c>
      <c r="H551" s="19">
        <f ca="1" t="shared" si="33"/>
        <v>30</v>
      </c>
      <c r="J551" s="17" t="e">
        <f ca="1" t="shared" si="34"/>
        <v>#N/A</v>
      </c>
    </row>
  </sheetData>
  <pageMargins left="0.75" right="0.75" top="1" bottom="1" header="0.5" footer="0.5"/>
  <headerFooter/>
  <tableParts count="4">
    <tablePart r:id="rId1"/>
    <tablePart r:id="rId2"/>
    <tablePart r:id="rId3"/>
    <tablePart r:id="rId4"/>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商业化框架">
    <tabColor rgb="FFFFFFFF"/>
  </sheetPr>
  <dimension ref="B1:U240"/>
  <sheetViews>
    <sheetView showGridLines="0" topLeftCell="B13" workbookViewId="0">
      <selection activeCell="H38" sqref="H38"/>
    </sheetView>
  </sheetViews>
  <sheetFormatPr defaultColWidth="10.2857142857143" defaultRowHeight="16.5"/>
  <cols>
    <col min="1" max="1" width="10.2857142857143" style="17"/>
    <col min="2" max="2" width="2.71428571428571" style="17" customWidth="1"/>
    <col min="3" max="3" width="10.2857142857143" style="17"/>
    <col min="4" max="4" width="13" style="17" customWidth="1"/>
    <col min="5" max="5" width="11.7142857142857" style="17" customWidth="1"/>
    <col min="6" max="6" width="16" style="17" customWidth="1"/>
    <col min="7" max="8" width="17.7142857142857" style="17" customWidth="1"/>
    <col min="9" max="9" width="18.7142857142857" style="17" customWidth="1"/>
    <col min="10" max="10" width="17.7142857142857" style="17" customWidth="1"/>
    <col min="11" max="11" width="22.4285714285714" style="17" customWidth="1"/>
    <col min="12" max="12" width="13" style="17" customWidth="1"/>
    <col min="13" max="13" width="14.7142857142857" style="17" customWidth="1"/>
    <col min="14" max="14" width="37.1428571428571" style="17" customWidth="1"/>
    <col min="15" max="15" width="13.2857142857143" style="17" customWidth="1"/>
    <col min="16" max="16" width="13" style="17" customWidth="1"/>
    <col min="17" max="17" width="32.8571428571429" style="17" customWidth="1"/>
    <col min="18" max="21" width="9.71428571428571" style="17" customWidth="1"/>
    <col min="22" max="16384" width="10.2857142857143" style="17"/>
  </cols>
  <sheetData>
    <row r="1" spans="2:17">
      <c r="B1" s="18"/>
      <c r="C1" s="17" t="s">
        <v>9</v>
      </c>
    </row>
    <row r="4" spans="2:17">
      <c r="N4" s="17" t="s">
        <v>499</v>
      </c>
    </row>
    <row r="7" spans="2:17">
      <c r="B7" s="18"/>
      <c r="C7" s="17" t="s">
        <v>886</v>
      </c>
    </row>
    <row r="8" spans="2:17">
      <c r="D8" s="17" t="s">
        <v>887</v>
      </c>
      <c r="L8" s="17">
        <f>1/(1-L20)</f>
        <v>7.69230769230769</v>
      </c>
    </row>
    <row r="9" spans="2:17">
      <c r="E9" s="17" t="s">
        <v>888</v>
      </c>
    </row>
    <row r="10" spans="2:17">
      <c r="E10" s="17" t="s">
        <v>889</v>
      </c>
      <c r="L10" s="17">
        <f>1/0.4</f>
        <v>2.5</v>
      </c>
    </row>
    <row r="12" spans="2:17">
      <c r="J12" s="44"/>
      <c r="K12" s="44"/>
      <c r="L12" s="44"/>
    </row>
    <row r="13" spans="2:17">
      <c r="F13" s="45" t="s">
        <v>890</v>
      </c>
      <c r="G13" s="45"/>
      <c r="H13" s="45"/>
      <c r="I13" s="46"/>
      <c r="J13" s="47" t="s">
        <v>891</v>
      </c>
      <c r="K13" s="48"/>
      <c r="L13" s="48"/>
      <c r="M13" s="47" t="s">
        <v>891</v>
      </c>
      <c r="N13" s="48"/>
      <c r="O13" s="48"/>
    </row>
    <row r="14" spans="2:17">
      <c r="D14" s="49" t="s">
        <v>214</v>
      </c>
      <c r="E14" s="50" t="s">
        <v>215</v>
      </c>
      <c r="F14" s="51" t="s">
        <v>892</v>
      </c>
      <c r="G14" s="51" t="s">
        <v>893</v>
      </c>
      <c r="H14" s="51" t="s">
        <v>894</v>
      </c>
      <c r="I14" s="51" t="s">
        <v>895</v>
      </c>
      <c r="J14" s="50" t="s">
        <v>208</v>
      </c>
      <c r="K14" s="50" t="s">
        <v>896</v>
      </c>
      <c r="L14" s="50" t="s">
        <v>897</v>
      </c>
      <c r="M14" s="52" t="s">
        <v>898</v>
      </c>
      <c r="N14" s="53" t="s">
        <v>899</v>
      </c>
      <c r="O14" s="53" t="s">
        <v>900</v>
      </c>
      <c r="P14" s="52" t="s">
        <v>901</v>
      </c>
      <c r="Q14" s="53" t="s">
        <v>531</v>
      </c>
    </row>
    <row r="15" ht="49.5" spans="2:17">
      <c r="D15" s="54" t="s">
        <v>544</v>
      </c>
      <c r="E15" s="55" t="s">
        <v>902</v>
      </c>
      <c r="F15" s="56">
        <f>G15*21</f>
        <v>1155000</v>
      </c>
      <c r="G15" s="56">
        <v>55000</v>
      </c>
      <c r="H15" s="57">
        <f>F15/I15</f>
        <v>77</v>
      </c>
      <c r="I15" s="54">
        <f>J15/(1-L15)</f>
        <v>15000</v>
      </c>
      <c r="J15" s="58">
        <f>100*30*2</f>
        <v>6000</v>
      </c>
      <c r="K15" s="59" t="s">
        <v>858</v>
      </c>
      <c r="L15" s="60">
        <v>0.6</v>
      </c>
      <c r="M15" s="61" t="s">
        <v>903</v>
      </c>
      <c r="N15" s="62" t="s">
        <v>904</v>
      </c>
      <c r="O15" s="61" t="s">
        <v>905</v>
      </c>
      <c r="P15" s="61" t="s">
        <v>262</v>
      </c>
      <c r="Q15" s="62" t="s">
        <v>906</v>
      </c>
    </row>
    <row r="16" ht="33" spans="2:17">
      <c r="D16" s="54"/>
      <c r="E16" s="55" t="s">
        <v>907</v>
      </c>
      <c r="F16" s="56">
        <f>G16*21</f>
        <v>945000</v>
      </c>
      <c r="G16" s="56">
        <v>45000</v>
      </c>
      <c r="H16" s="57">
        <f>INT(F16/I16)</f>
        <v>108</v>
      </c>
      <c r="I16" s="54">
        <f>J16/(1-L16)</f>
        <v>8750</v>
      </c>
      <c r="J16" s="58">
        <f>3500*H59</f>
        <v>3500</v>
      </c>
      <c r="K16" s="59" t="s">
        <v>858</v>
      </c>
      <c r="L16" s="60">
        <v>0.6</v>
      </c>
      <c r="M16" s="61" t="s">
        <v>903</v>
      </c>
      <c r="N16" s="62" t="s">
        <v>908</v>
      </c>
      <c r="O16" s="61" t="s">
        <v>909</v>
      </c>
      <c r="P16" s="63" t="s">
        <v>858</v>
      </c>
      <c r="Q16" s="62" t="s">
        <v>910</v>
      </c>
    </row>
    <row r="17" spans="4:21">
      <c r="D17" s="54" t="s">
        <v>911</v>
      </c>
      <c r="E17" s="64" t="s">
        <v>744</v>
      </c>
      <c r="F17" s="54">
        <v>0</v>
      </c>
      <c r="G17" s="56">
        <v>0</v>
      </c>
      <c r="H17" s="57">
        <v>60</v>
      </c>
      <c r="I17" s="54"/>
      <c r="J17" s="54"/>
      <c r="K17" s="59" t="s">
        <v>858</v>
      </c>
      <c r="L17" s="59"/>
      <c r="M17" s="63"/>
      <c r="N17" s="61"/>
      <c r="O17" s="61"/>
      <c r="P17" s="54"/>
      <c r="Q17" s="56"/>
    </row>
    <row r="18" spans="4:21">
      <c r="D18" s="54"/>
      <c r="E18" s="64" t="s">
        <v>313</v>
      </c>
      <c r="F18" s="54">
        <f>G18</f>
        <v>420000</v>
      </c>
      <c r="G18" s="56">
        <f>12500*6*H79+650000*6*H49</f>
        <v>420000</v>
      </c>
      <c r="H18" s="65">
        <f>G18/I18</f>
        <v>50.4</v>
      </c>
      <c r="I18" s="66">
        <f>J18/(1-L18)</f>
        <v>8333.33333333333</v>
      </c>
      <c r="J18" s="54">
        <f>H79*1250+75000*H49</f>
        <v>7500</v>
      </c>
      <c r="K18" s="59" t="s">
        <v>858</v>
      </c>
      <c r="L18" s="60">
        <v>0.1</v>
      </c>
      <c r="M18" s="63" t="s">
        <v>912</v>
      </c>
      <c r="N18" s="61" t="s">
        <v>913</v>
      </c>
      <c r="O18" s="61"/>
      <c r="P18" s="54"/>
      <c r="Q18" s="56"/>
    </row>
    <row r="19" spans="4:21">
      <c r="D19" s="54"/>
      <c r="E19" s="64" t="s">
        <v>914</v>
      </c>
      <c r="F19" s="54">
        <f>H82*35*60</f>
        <v>105000</v>
      </c>
      <c r="G19" s="56">
        <f>F19</f>
        <v>105000</v>
      </c>
      <c r="H19" s="57">
        <v>60</v>
      </c>
      <c r="I19" s="54">
        <f>G19/H19</f>
        <v>1750</v>
      </c>
      <c r="J19" s="54">
        <f>I19-I19*L19</f>
        <v>700</v>
      </c>
      <c r="K19" s="59" t="s">
        <v>858</v>
      </c>
      <c r="L19" s="59">
        <v>0.6</v>
      </c>
      <c r="M19" s="63"/>
      <c r="N19" s="61"/>
      <c r="O19" s="61"/>
      <c r="P19" s="54"/>
      <c r="Q19" s="56"/>
    </row>
    <row r="20" spans="4:21">
      <c r="D20" s="54"/>
      <c r="E20" s="64" t="s">
        <v>915</v>
      </c>
      <c r="F20" s="54">
        <f>G20</f>
        <v>1081344</v>
      </c>
      <c r="G20" s="56">
        <f>(1024*18+4096*12)*H97</f>
        <v>1081344</v>
      </c>
      <c r="H20" s="65">
        <f>G20/I20</f>
        <v>65.0808888888889</v>
      </c>
      <c r="I20" s="66">
        <f>J20/(1-L20)</f>
        <v>16615.3846153846</v>
      </c>
      <c r="J20" s="54">
        <f>135*H97</f>
        <v>2160</v>
      </c>
      <c r="K20" s="59" t="s">
        <v>262</v>
      </c>
      <c r="L20" s="67">
        <v>0.87</v>
      </c>
      <c r="M20" s="63"/>
      <c r="N20" s="61" t="s">
        <v>916</v>
      </c>
      <c r="O20" s="61"/>
      <c r="P20" s="54"/>
      <c r="Q20" s="56"/>
    </row>
    <row r="21" ht="33" spans="4:21">
      <c r="D21" s="48"/>
      <c r="E21" s="55" t="s">
        <v>551</v>
      </c>
      <c r="F21" s="54">
        <f>G21</f>
        <v>240000</v>
      </c>
      <c r="G21" s="54">
        <f>4000*H96</f>
        <v>240000</v>
      </c>
      <c r="H21" s="68">
        <f>G21/I21</f>
        <v>60.0000000000001</v>
      </c>
      <c r="I21" s="54">
        <f>J21/(1-L21)</f>
        <v>4000</v>
      </c>
      <c r="J21" s="54">
        <f>100*H96/60</f>
        <v>100</v>
      </c>
      <c r="K21" s="59" t="s">
        <v>239</v>
      </c>
      <c r="L21" s="67">
        <v>0.975</v>
      </c>
      <c r="M21" s="63"/>
      <c r="N21" s="62" t="s">
        <v>917</v>
      </c>
      <c r="O21" s="61"/>
      <c r="P21" s="54"/>
      <c r="Q21" s="54"/>
    </row>
    <row r="22" spans="4:21">
      <c r="D22" s="48"/>
      <c r="E22" s="55" t="s">
        <v>918</v>
      </c>
      <c r="F22" s="56">
        <f>G22</f>
        <v>112500</v>
      </c>
      <c r="G22" s="56">
        <f>600000*H49+17500*H105+H106*60</f>
        <v>112500</v>
      </c>
      <c r="H22" s="69">
        <f>G22/I22</f>
        <v>60.2678571428571</v>
      </c>
      <c r="I22" s="66">
        <f>J22/(1-L22)</f>
        <v>1866.66666666667</v>
      </c>
      <c r="J22" s="54">
        <f>300*H105+10000*H49</f>
        <v>1400</v>
      </c>
      <c r="K22" s="59" t="s">
        <v>858</v>
      </c>
      <c r="L22" s="60">
        <v>0.25</v>
      </c>
      <c r="M22" s="61"/>
      <c r="N22" s="61" t="s">
        <v>919</v>
      </c>
      <c r="O22" s="61"/>
      <c r="P22" s="56"/>
      <c r="Q22" s="56"/>
    </row>
    <row r="23" spans="4:21">
      <c r="D23" s="48"/>
      <c r="E23" s="55"/>
      <c r="F23" s="56"/>
      <c r="G23" s="54"/>
      <c r="H23" s="56"/>
      <c r="I23" s="56"/>
      <c r="J23" s="59"/>
      <c r="K23" s="59"/>
      <c r="L23" s="59"/>
      <c r="M23" s="61"/>
      <c r="N23" s="61"/>
      <c r="O23" s="61"/>
      <c r="P23" s="56"/>
      <c r="Q23" s="56"/>
    </row>
    <row r="24" spans="4:21">
      <c r="D24" s="48"/>
      <c r="E24" s="55"/>
      <c r="F24" s="56"/>
      <c r="G24" s="54"/>
      <c r="H24" s="56"/>
      <c r="I24" s="56"/>
      <c r="J24" s="59"/>
      <c r="K24" s="59"/>
      <c r="L24" s="59"/>
      <c r="M24" s="63"/>
      <c r="N24" s="61"/>
      <c r="O24" s="61"/>
      <c r="P24" s="56"/>
      <c r="Q24" s="56"/>
    </row>
    <row r="25" spans="4:21">
      <c r="D25" s="48"/>
      <c r="E25" s="70"/>
      <c r="F25" s="56"/>
      <c r="G25" s="54"/>
      <c r="H25" s="56"/>
      <c r="I25" s="56"/>
      <c r="J25" s="59"/>
      <c r="K25" s="59"/>
      <c r="L25" s="59"/>
      <c r="M25" s="63"/>
      <c r="N25" s="71"/>
      <c r="O25" s="71"/>
      <c r="P25" s="56"/>
      <c r="Q25" s="56"/>
    </row>
    <row r="26" spans="4:21">
      <c r="D26" s="72"/>
      <c r="E26" s="61"/>
      <c r="F26" s="54"/>
      <c r="G26" s="54"/>
      <c r="H26" s="54"/>
      <c r="I26" s="54"/>
      <c r="J26" s="59"/>
      <c r="K26" s="59"/>
      <c r="L26" s="59"/>
      <c r="M26" s="61"/>
      <c r="N26" s="61"/>
      <c r="O26" s="61"/>
      <c r="P26" s="54"/>
      <c r="Q26" s="54"/>
    </row>
    <row r="27" spans="4:21">
      <c r="P27" s="73"/>
      <c r="Q27" s="73"/>
      <c r="R27" s="73"/>
      <c r="S27" s="73"/>
      <c r="T27" s="73"/>
      <c r="U27" s="73"/>
    </row>
    <row r="28" spans="4:21">
      <c r="P28" s="73"/>
      <c r="Q28" s="73"/>
      <c r="R28" s="73"/>
      <c r="S28" s="73"/>
      <c r="T28" s="73"/>
      <c r="U28" s="73"/>
    </row>
    <row r="29" s="43" customFormat="1" spans="4:21">
      <c r="D29" s="74" t="s">
        <v>214</v>
      </c>
      <c r="E29" s="75" t="s">
        <v>215</v>
      </c>
      <c r="F29" s="75" t="s">
        <v>920</v>
      </c>
      <c r="G29" s="75" t="s">
        <v>894</v>
      </c>
      <c r="H29" s="75" t="s">
        <v>921</v>
      </c>
      <c r="I29" s="75" t="s">
        <v>922</v>
      </c>
      <c r="J29" s="75" t="s">
        <v>897</v>
      </c>
      <c r="K29" s="73"/>
      <c r="L29" s="73"/>
      <c r="M29" s="76" t="s">
        <v>214</v>
      </c>
      <c r="N29" s="77" t="s">
        <v>215</v>
      </c>
      <c r="O29" s="43" t="s">
        <v>923</v>
      </c>
      <c r="P29" s="43" t="s">
        <v>924</v>
      </c>
      <c r="Q29" s="43" t="s">
        <v>925</v>
      </c>
    </row>
    <row r="30" spans="4:21">
      <c r="D30" s="54" t="s">
        <v>544</v>
      </c>
      <c r="E30" s="55" t="s">
        <v>926</v>
      </c>
      <c r="F30" s="56">
        <f>20000*18/10</f>
        <v>36000</v>
      </c>
      <c r="G30" s="57">
        <v>60</v>
      </c>
      <c r="H30" s="54">
        <f>100*18/10</f>
        <v>180</v>
      </c>
      <c r="I30" s="58">
        <v>500</v>
      </c>
      <c r="J30" s="60">
        <f>H30*G30/F30</f>
        <v>0.3</v>
      </c>
      <c r="K30" s="73"/>
      <c r="L30" s="73"/>
      <c r="M30" s="78" t="s">
        <v>544</v>
      </c>
      <c r="N30" s="79" t="s">
        <v>902</v>
      </c>
      <c r="O30" s="17" t="s">
        <v>927</v>
      </c>
      <c r="P30" s="80">
        <v>100</v>
      </c>
      <c r="Q30" s="17" t="s">
        <v>928</v>
      </c>
      <c r="R30" s="17" t="s">
        <v>544</v>
      </c>
      <c r="S30" s="17" t="s">
        <v>929</v>
      </c>
    </row>
    <row r="31" spans="4:21">
      <c r="D31" s="54" t="s">
        <v>911</v>
      </c>
      <c r="E31" s="64" t="s">
        <v>744</v>
      </c>
      <c r="F31" s="54"/>
      <c r="G31" s="57"/>
      <c r="H31" s="54"/>
      <c r="I31" s="54"/>
      <c r="J31" s="59"/>
      <c r="K31" s="73"/>
      <c r="L31" s="73"/>
      <c r="M31" s="78"/>
      <c r="N31" s="79" t="s">
        <v>907</v>
      </c>
      <c r="O31" s="17" t="s">
        <v>930</v>
      </c>
      <c r="P31" s="80">
        <v>1000</v>
      </c>
      <c r="Q31" s="17" t="s">
        <v>931</v>
      </c>
    </row>
    <row r="32" spans="4:21">
      <c r="D32" s="54"/>
      <c r="E32" s="64" t="s">
        <v>313</v>
      </c>
      <c r="F32" s="54">
        <f>F18/10</f>
        <v>42000</v>
      </c>
      <c r="G32" s="65">
        <v>60</v>
      </c>
      <c r="H32" s="66">
        <f>360000/60/10</f>
        <v>600</v>
      </c>
      <c r="I32" s="54">
        <v>1500</v>
      </c>
      <c r="J32" s="60">
        <f>H32*G32/F32</f>
        <v>0.857142857142857</v>
      </c>
      <c r="K32" s="73"/>
      <c r="L32" s="73"/>
      <c r="M32" s="78" t="s">
        <v>911</v>
      </c>
      <c r="N32" s="81" t="s">
        <v>744</v>
      </c>
      <c r="O32" s="17" t="s">
        <v>932</v>
      </c>
      <c r="P32" s="80">
        <v>5000</v>
      </c>
      <c r="Q32" s="17" t="s">
        <v>933</v>
      </c>
      <c r="R32" s="17" t="s">
        <v>934</v>
      </c>
      <c r="S32" s="17" t="s">
        <v>935</v>
      </c>
      <c r="T32" s="17" t="s">
        <v>928</v>
      </c>
    </row>
    <row r="33" spans="2:21">
      <c r="D33" s="54"/>
      <c r="E33" s="64" t="s">
        <v>915</v>
      </c>
      <c r="F33" s="54">
        <f>H102*30/10</f>
        <v>49152</v>
      </c>
      <c r="G33" s="65">
        <v>60</v>
      </c>
      <c r="H33" s="66">
        <f>100</f>
        <v>100</v>
      </c>
      <c r="I33" s="54"/>
      <c r="J33" s="60">
        <f>H33*G33/F33</f>
        <v>0.1220703125</v>
      </c>
      <c r="K33" s="73"/>
      <c r="L33" s="73"/>
      <c r="M33" s="78"/>
      <c r="N33" s="81" t="s">
        <v>313</v>
      </c>
      <c r="R33" s="17" t="s">
        <v>936</v>
      </c>
      <c r="S33" s="17" t="s">
        <v>937</v>
      </c>
      <c r="T33" s="17" t="s">
        <v>938</v>
      </c>
    </row>
    <row r="34" spans="2:21">
      <c r="D34" s="48"/>
      <c r="E34" s="55" t="s">
        <v>551</v>
      </c>
      <c r="F34" s="54"/>
      <c r="G34" s="68"/>
      <c r="H34" s="54"/>
      <c r="I34" s="54"/>
      <c r="J34" s="67"/>
      <c r="K34" s="73"/>
      <c r="L34" s="73"/>
      <c r="M34" s="78"/>
      <c r="N34" s="81" t="s">
        <v>914</v>
      </c>
    </row>
    <row r="35" spans="2:21">
      <c r="D35" s="48"/>
      <c r="E35" s="55" t="s">
        <v>918</v>
      </c>
      <c r="F35" s="54"/>
      <c r="G35" s="69"/>
      <c r="H35" s="66"/>
      <c r="I35" s="54"/>
      <c r="J35" s="60"/>
      <c r="K35" s="73"/>
      <c r="L35" s="73"/>
      <c r="M35" s="78"/>
      <c r="N35" s="81" t="s">
        <v>915</v>
      </c>
    </row>
    <row r="36" spans="2:21">
      <c r="M36" s="82"/>
      <c r="N36" s="79" t="s">
        <v>551</v>
      </c>
      <c r="O36" s="73" t="s">
        <v>371</v>
      </c>
      <c r="P36" s="73"/>
      <c r="Q36" s="73"/>
      <c r="R36" s="43"/>
      <c r="S36" s="43"/>
      <c r="T36" s="43"/>
    </row>
    <row r="37" spans="2:21">
      <c r="M37" s="82"/>
      <c r="N37" s="79" t="s">
        <v>918</v>
      </c>
      <c r="O37" s="17" t="s">
        <v>939</v>
      </c>
      <c r="P37" s="73"/>
      <c r="Q37" s="73"/>
      <c r="R37" s="17" t="s">
        <v>544</v>
      </c>
      <c r="S37" s="17" t="s">
        <v>929</v>
      </c>
      <c r="U37" s="73"/>
    </row>
    <row r="38" spans="2:21">
      <c r="M38" s="82"/>
      <c r="N38" s="79"/>
      <c r="P38" s="73"/>
      <c r="Q38" s="73"/>
      <c r="U38" s="73"/>
    </row>
    <row r="39" spans="2:21">
      <c r="M39" s="82"/>
      <c r="N39" s="79"/>
      <c r="P39" s="73"/>
      <c r="Q39" s="73"/>
      <c r="R39" s="17" t="s">
        <v>934</v>
      </c>
      <c r="S39" s="17" t="s">
        <v>935</v>
      </c>
      <c r="T39" s="17" t="s">
        <v>928</v>
      </c>
      <c r="U39" s="73"/>
    </row>
    <row r="40" spans="2:21">
      <c r="M40" s="82"/>
      <c r="N40" s="83"/>
      <c r="P40" s="73"/>
      <c r="Q40" s="73"/>
      <c r="R40" s="17" t="s">
        <v>936</v>
      </c>
      <c r="S40" s="17" t="s">
        <v>937</v>
      </c>
      <c r="T40" s="17" t="s">
        <v>938</v>
      </c>
      <c r="U40" s="73"/>
    </row>
    <row r="41" spans="2:21">
      <c r="M41" s="84"/>
      <c r="N41" s="85"/>
      <c r="P41" s="73"/>
      <c r="Q41" s="73"/>
      <c r="U41" s="73"/>
    </row>
    <row r="42" spans="2:21">
      <c r="P42" s="73"/>
      <c r="Q42" s="73"/>
      <c r="R42" s="73"/>
      <c r="S42" s="73"/>
      <c r="T42" s="73"/>
      <c r="U42" s="73"/>
    </row>
    <row r="43" spans="2:21">
      <c r="E43" s="19" t="s">
        <v>940</v>
      </c>
      <c r="F43" s="19">
        <f>SUM(F15:F26)</f>
        <v>4058844</v>
      </c>
      <c r="G43" s="19"/>
      <c r="I43" s="86">
        <f>SUM(I15:I26)</f>
        <v>56315.3846153846</v>
      </c>
      <c r="J43" s="19">
        <f>SUM(J15:J26)</f>
        <v>21360</v>
      </c>
      <c r="K43" s="73"/>
      <c r="L43" s="73"/>
      <c r="M43" s="73"/>
      <c r="N43" s="73"/>
      <c r="O43" s="73"/>
      <c r="P43" s="73"/>
      <c r="Q43" s="73"/>
      <c r="R43" s="73"/>
      <c r="S43" s="73"/>
      <c r="T43" s="73"/>
      <c r="U43" s="73"/>
    </row>
    <row r="44" spans="2:21">
      <c r="B44" s="18"/>
      <c r="C44" s="17" t="s">
        <v>941</v>
      </c>
      <c r="F44" s="17">
        <f>H49*10000</f>
        <v>500</v>
      </c>
      <c r="K44" s="73"/>
      <c r="L44" s="73"/>
      <c r="M44" s="73"/>
      <c r="N44" s="73"/>
      <c r="O44" s="73"/>
      <c r="P44" s="73"/>
      <c r="Q44" s="73"/>
      <c r="R44" s="73"/>
      <c r="S44" s="73"/>
      <c r="T44" s="73"/>
      <c r="U44" s="73"/>
    </row>
    <row r="45" spans="2:21">
      <c r="J45" s="87" t="s">
        <v>942</v>
      </c>
      <c r="K45" s="73"/>
      <c r="L45" s="73"/>
      <c r="M45" s="73"/>
      <c r="N45" s="73"/>
      <c r="O45" s="73"/>
      <c r="P45" s="73"/>
      <c r="Q45" s="73"/>
      <c r="R45" s="73"/>
      <c r="S45" s="73"/>
      <c r="T45" s="73"/>
      <c r="U45" s="73"/>
    </row>
    <row r="46" spans="2:21">
      <c r="D46" s="88" t="s">
        <v>943</v>
      </c>
      <c r="E46" s="88" t="s">
        <v>944</v>
      </c>
      <c r="F46" s="88" t="s">
        <v>945</v>
      </c>
      <c r="G46" s="87" t="s">
        <v>946</v>
      </c>
      <c r="H46" s="87" t="s">
        <v>684</v>
      </c>
      <c r="I46" s="87" t="s">
        <v>947</v>
      </c>
      <c r="J46" s="87" t="s">
        <v>948</v>
      </c>
      <c r="K46" s="87" t="s">
        <v>949</v>
      </c>
      <c r="L46" s="87" t="s">
        <v>950</v>
      </c>
      <c r="M46" s="87" t="s">
        <v>951</v>
      </c>
      <c r="N46" s="87" t="s">
        <v>952</v>
      </c>
      <c r="O46" s="73"/>
      <c r="P46" s="73"/>
      <c r="Q46" s="73"/>
      <c r="R46" s="73"/>
      <c r="S46" s="73"/>
      <c r="T46" s="73"/>
      <c r="U46" s="73"/>
    </row>
    <row r="47" spans="2:21">
      <c r="D47" s="54">
        <f>IF(F47="","",MAX($D$46:D46)+1)</f>
        <v>1</v>
      </c>
      <c r="E47" s="54">
        <v>1</v>
      </c>
      <c r="F47" s="54" t="s">
        <v>953</v>
      </c>
      <c r="G47" s="54" t="s">
        <v>954</v>
      </c>
      <c r="H47" s="54">
        <v>1</v>
      </c>
      <c r="I47" s="54"/>
      <c r="J47" s="54" t="s">
        <v>955</v>
      </c>
      <c r="K47" s="54" t="s">
        <v>956</v>
      </c>
      <c r="L47" s="54">
        <v>5</v>
      </c>
      <c r="M47" s="54"/>
      <c r="N47" s="54" t="s">
        <v>957</v>
      </c>
      <c r="O47" s="73"/>
      <c r="P47" s="73"/>
      <c r="Q47" s="73"/>
      <c r="R47" s="73"/>
      <c r="S47" s="73"/>
      <c r="T47" s="73"/>
      <c r="U47" s="73"/>
    </row>
    <row r="48" ht="17.25" spans="2:21">
      <c r="D48" s="54">
        <f>IF(F48="","",MAX($D$46:D47)+1)</f>
        <v>2</v>
      </c>
      <c r="E48" s="54">
        <v>13</v>
      </c>
      <c r="F48" s="54" t="s">
        <v>958</v>
      </c>
      <c r="G48" s="54"/>
      <c r="H48" s="54">
        <v>2</v>
      </c>
      <c r="I48" s="54"/>
      <c r="J48" s="54" t="s">
        <v>959</v>
      </c>
      <c r="K48" s="54"/>
      <c r="L48" s="54">
        <v>7</v>
      </c>
      <c r="M48" s="54"/>
      <c r="N48" s="54"/>
      <c r="O48" s="73"/>
      <c r="P48" s="89"/>
      <c r="Q48" s="73"/>
      <c r="R48" s="73"/>
      <c r="S48" s="73"/>
      <c r="T48" s="73"/>
      <c r="U48" s="73"/>
    </row>
    <row r="49" spans="4:21">
      <c r="D49" s="54">
        <f>IF(F49="","",MAX($D$46:D48)+1)</f>
        <v>3</v>
      </c>
      <c r="E49" s="54">
        <v>2</v>
      </c>
      <c r="F49" s="54" t="s">
        <v>755</v>
      </c>
      <c r="G49" s="54"/>
      <c r="H49" s="54">
        <v>0.05</v>
      </c>
      <c r="I49" s="54"/>
      <c r="J49" s="54" t="s">
        <v>960</v>
      </c>
      <c r="K49" s="54"/>
      <c r="L49" s="54">
        <v>5</v>
      </c>
      <c r="M49" s="54"/>
      <c r="N49" s="54"/>
      <c r="O49" s="73"/>
      <c r="P49" s="73"/>
      <c r="Q49" s="73"/>
      <c r="R49" s="73"/>
      <c r="S49" s="73"/>
      <c r="T49" s="73"/>
      <c r="U49" s="73"/>
    </row>
    <row r="50" spans="4:21">
      <c r="D50" s="54">
        <f>IF(F50="","",MAX($D$46:D49)+1)</f>
        <v>4</v>
      </c>
      <c r="E50" s="54">
        <v>44</v>
      </c>
      <c r="F50" s="54" t="s">
        <v>756</v>
      </c>
      <c r="G50" s="54"/>
      <c r="H50" s="54">
        <v>10</v>
      </c>
      <c r="I50" s="54"/>
      <c r="J50" s="54" t="s">
        <v>818</v>
      </c>
      <c r="K50" s="54" t="s">
        <v>961</v>
      </c>
      <c r="L50" s="54">
        <v>2</v>
      </c>
      <c r="M50" s="54"/>
      <c r="N50" s="90" t="s">
        <v>962</v>
      </c>
      <c r="O50" s="73"/>
      <c r="P50" s="73"/>
      <c r="Q50" s="73"/>
      <c r="R50" s="73"/>
      <c r="S50" s="73"/>
      <c r="T50" s="73"/>
      <c r="U50" s="73"/>
    </row>
    <row r="51" spans="4:21">
      <c r="D51" s="54">
        <f>IF(F51="","",MAX($D$46:D50)+1)</f>
        <v>5</v>
      </c>
      <c r="E51" s="54">
        <v>20003</v>
      </c>
      <c r="F51" s="54" t="s">
        <v>963</v>
      </c>
      <c r="G51" s="54"/>
      <c r="H51" s="54">
        <v>30</v>
      </c>
      <c r="I51" s="54"/>
      <c r="J51" s="54"/>
      <c r="K51" s="54"/>
      <c r="L51" s="54"/>
      <c r="M51" s="54"/>
      <c r="N51" s="90"/>
      <c r="O51" s="73"/>
      <c r="P51" s="73"/>
      <c r="Q51" s="73"/>
      <c r="R51" s="73"/>
      <c r="S51" s="73"/>
      <c r="T51" s="73"/>
      <c r="U51" s="73"/>
    </row>
    <row r="52" spans="4:21">
      <c r="D52" s="54">
        <f>IF(F52="","",MAX($D$46:D51)+1)</f>
        <v>6</v>
      </c>
      <c r="E52" s="54">
        <v>20033</v>
      </c>
      <c r="F52" s="54" t="s">
        <v>964</v>
      </c>
      <c r="G52" s="54"/>
      <c r="H52" s="54">
        <v>40</v>
      </c>
      <c r="I52" s="54"/>
      <c r="J52" s="54"/>
      <c r="K52" s="54"/>
      <c r="L52" s="54"/>
      <c r="M52" s="54"/>
      <c r="N52" s="54"/>
      <c r="O52" s="73"/>
      <c r="P52" s="73"/>
      <c r="Q52" s="73"/>
      <c r="R52" s="73"/>
      <c r="S52" s="73"/>
      <c r="T52" s="73"/>
      <c r="U52" s="73"/>
    </row>
    <row r="53" spans="4:21">
      <c r="D53" s="54">
        <f>IF(F53="","",MAX($D$46:D52)+1)</f>
        <v>7</v>
      </c>
      <c r="E53" s="54">
        <v>5800004</v>
      </c>
      <c r="F53" s="54" t="s">
        <v>965</v>
      </c>
      <c r="G53" s="54"/>
      <c r="H53" s="54">
        <v>30</v>
      </c>
      <c r="I53" s="54"/>
      <c r="J53" s="54"/>
      <c r="K53" s="54"/>
      <c r="L53" s="54"/>
      <c r="M53" s="54"/>
      <c r="N53" s="54"/>
      <c r="O53" s="73"/>
      <c r="P53" s="73"/>
      <c r="Q53" s="73"/>
      <c r="R53" s="73"/>
      <c r="S53" s="73"/>
      <c r="T53" s="73"/>
      <c r="U53" s="73"/>
    </row>
    <row r="54" spans="4:21">
      <c r="D54" s="54">
        <f>IF(F54="","",MAX($D$46:D53)+1)</f>
        <v>8</v>
      </c>
      <c r="E54" s="54">
        <v>5800005</v>
      </c>
      <c r="F54" s="54" t="s">
        <v>966</v>
      </c>
      <c r="G54" s="54"/>
      <c r="H54" s="54">
        <v>50</v>
      </c>
      <c r="I54" s="54"/>
      <c r="J54" s="54"/>
      <c r="K54" s="54"/>
      <c r="L54" s="54"/>
      <c r="M54" s="54"/>
      <c r="N54" s="54"/>
      <c r="O54" s="73"/>
      <c r="P54" s="73"/>
      <c r="Q54" s="73"/>
      <c r="R54" s="73"/>
      <c r="S54" s="73"/>
      <c r="T54" s="73"/>
      <c r="U54" s="73"/>
    </row>
    <row r="55" spans="4:21">
      <c r="D55" s="54">
        <f>IF(F55="","",MAX($D$46:D54)+1)</f>
        <v>9</v>
      </c>
      <c r="E55" s="54">
        <v>20034</v>
      </c>
      <c r="F55" s="54" t="s">
        <v>967</v>
      </c>
      <c r="G55" s="54"/>
      <c r="H55" s="54">
        <v>250</v>
      </c>
      <c r="I55" s="54"/>
      <c r="J55" s="54"/>
      <c r="K55" s="54"/>
      <c r="L55" s="54"/>
      <c r="M55" s="54"/>
      <c r="N55" s="54"/>
      <c r="O55" s="73"/>
      <c r="P55" s="73"/>
      <c r="Q55" s="73"/>
      <c r="R55" s="73"/>
      <c r="S55" s="73"/>
      <c r="T55" s="73"/>
      <c r="U55" s="73"/>
    </row>
    <row r="56" spans="4:21">
      <c r="D56" s="54">
        <f>IF(F56="","",MAX($D$46:D55)+1)</f>
        <v>10</v>
      </c>
      <c r="E56" s="54">
        <v>20035</v>
      </c>
      <c r="F56" s="54" t="s">
        <v>968</v>
      </c>
      <c r="G56" s="54"/>
      <c r="H56" s="54">
        <v>700</v>
      </c>
      <c r="I56" s="54"/>
      <c r="J56" s="54"/>
      <c r="K56" s="54"/>
      <c r="L56" s="54"/>
      <c r="M56" s="54"/>
      <c r="N56" s="54"/>
      <c r="O56" s="73"/>
      <c r="P56" s="73">
        <f>500*0.33</f>
        <v>165</v>
      </c>
      <c r="Q56" s="73"/>
      <c r="R56" s="73"/>
      <c r="S56" s="73"/>
      <c r="T56" s="73"/>
      <c r="U56" s="73"/>
    </row>
    <row r="57" spans="4:21">
      <c r="D57" s="54">
        <f>IF(F57="","",MAX($D$46:D56)+1)</f>
        <v>11</v>
      </c>
      <c r="E57" s="54">
        <v>28</v>
      </c>
      <c r="F57" s="54" t="s">
        <v>969</v>
      </c>
      <c r="G57" s="54"/>
      <c r="H57" s="54">
        <v>200</v>
      </c>
      <c r="I57" s="54"/>
      <c r="J57" s="54"/>
      <c r="K57" s="54"/>
      <c r="L57" s="54"/>
      <c r="M57" s="54"/>
      <c r="N57" s="54"/>
      <c r="O57" s="73"/>
      <c r="P57" s="73"/>
      <c r="Q57" s="73"/>
      <c r="R57" s="73"/>
      <c r="S57" s="73"/>
      <c r="T57" s="73"/>
      <c r="U57" s="73"/>
    </row>
    <row r="58" spans="4:21">
      <c r="D58" s="54">
        <f>IF(F58="","",MAX($D$46:D57)+1)</f>
        <v>12</v>
      </c>
      <c r="E58" s="54">
        <v>5104001</v>
      </c>
      <c r="F58" s="54" t="s">
        <v>970</v>
      </c>
      <c r="G58" s="54"/>
      <c r="H58" s="54">
        <v>2</v>
      </c>
      <c r="I58" s="54"/>
      <c r="J58" s="54"/>
      <c r="K58" s="54"/>
      <c r="L58" s="54"/>
      <c r="M58" s="54"/>
      <c r="N58" s="54"/>
      <c r="O58" s="73"/>
      <c r="P58" s="73"/>
      <c r="Q58" s="73"/>
      <c r="R58" s="73"/>
      <c r="S58" s="73"/>
      <c r="T58" s="73"/>
      <c r="U58" s="73"/>
    </row>
    <row r="59" spans="4:21">
      <c r="D59" s="54">
        <f>IF(F59="","",MAX($D$46:D58)+1)</f>
        <v>13</v>
      </c>
      <c r="E59" s="54">
        <v>5103001</v>
      </c>
      <c r="F59" s="54" t="s">
        <v>971</v>
      </c>
      <c r="G59" s="54" t="s">
        <v>972</v>
      </c>
      <c r="H59" s="54">
        <v>1</v>
      </c>
      <c r="I59" s="54"/>
      <c r="J59" s="54" t="s">
        <v>973</v>
      </c>
      <c r="K59" s="54"/>
      <c r="L59" s="54">
        <v>5</v>
      </c>
      <c r="M59" s="54"/>
      <c r="N59" s="54" t="s">
        <v>974</v>
      </c>
      <c r="O59" s="73"/>
      <c r="P59" s="73"/>
      <c r="Q59" s="73"/>
      <c r="R59" s="73"/>
      <c r="S59" s="73"/>
      <c r="T59" s="73"/>
      <c r="U59" s="73"/>
    </row>
    <row r="60" spans="4:21">
      <c r="D60" s="54">
        <f>IF(F60="","",MAX($D$46:D59)+1)</f>
        <v>14</v>
      </c>
      <c r="E60" s="54">
        <v>11</v>
      </c>
      <c r="F60" s="54" t="s">
        <v>975</v>
      </c>
      <c r="G60" s="54"/>
      <c r="H60" s="54">
        <v>30</v>
      </c>
      <c r="I60" s="54"/>
      <c r="J60" s="54" t="s">
        <v>976</v>
      </c>
      <c r="K60" s="54" t="s">
        <v>977</v>
      </c>
      <c r="L60" s="54">
        <v>6</v>
      </c>
      <c r="M60" s="54"/>
      <c r="N60" s="90" t="s">
        <v>978</v>
      </c>
      <c r="O60" s="73"/>
      <c r="P60" s="73"/>
      <c r="Q60" s="73"/>
      <c r="R60" s="73"/>
      <c r="S60" s="73"/>
      <c r="T60" s="73"/>
      <c r="U60" s="73"/>
    </row>
    <row r="61" spans="4:21">
      <c r="D61" s="54">
        <f>IF(F61="","",MAX($D$46:D60)+1)</f>
        <v>15</v>
      </c>
      <c r="E61" s="54">
        <v>35</v>
      </c>
      <c r="F61" s="54" t="s">
        <v>979</v>
      </c>
      <c r="G61" s="54"/>
      <c r="H61" s="54">
        <v>100</v>
      </c>
      <c r="I61" s="54"/>
      <c r="J61" s="54" t="s">
        <v>980</v>
      </c>
      <c r="K61" s="54"/>
      <c r="L61" s="54"/>
      <c r="M61" s="54" t="s">
        <v>981</v>
      </c>
      <c r="N61" s="54"/>
      <c r="O61" s="73"/>
      <c r="P61" s="73"/>
      <c r="Q61" s="73"/>
      <c r="R61" s="73"/>
      <c r="S61" s="73"/>
      <c r="T61" s="73"/>
      <c r="U61" s="73"/>
    </row>
    <row r="62" spans="4:21">
      <c r="D62" s="54">
        <f>IF(F62="","",MAX($D$46:D61)+1)</f>
        <v>16</v>
      </c>
      <c r="E62" s="54"/>
      <c r="F62" s="54" t="s">
        <v>982</v>
      </c>
      <c r="G62" s="54"/>
      <c r="H62" s="54">
        <v>150</v>
      </c>
      <c r="I62" s="54"/>
      <c r="J62" s="54" t="s">
        <v>977</v>
      </c>
      <c r="K62" s="54"/>
      <c r="L62" s="54">
        <v>10</v>
      </c>
      <c r="M62" s="54" t="s">
        <v>983</v>
      </c>
      <c r="N62" s="90" t="s">
        <v>984</v>
      </c>
      <c r="O62" s="73"/>
      <c r="P62" s="73"/>
      <c r="Q62" s="73"/>
      <c r="R62" s="73"/>
      <c r="S62" s="73"/>
      <c r="T62" s="73"/>
      <c r="U62" s="73"/>
    </row>
    <row r="63" spans="4:21">
      <c r="D63" s="54">
        <f>IF(F63="","",MAX($D$46:D62)+1)</f>
        <v>17</v>
      </c>
      <c r="E63" s="54">
        <v>1310100</v>
      </c>
      <c r="F63" s="54" t="s">
        <v>985</v>
      </c>
      <c r="G63" s="54"/>
      <c r="H63" s="54">
        <v>20</v>
      </c>
      <c r="I63" s="54"/>
      <c r="J63" s="54" t="s">
        <v>799</v>
      </c>
      <c r="K63" s="54"/>
      <c r="L63" s="54">
        <v>8</v>
      </c>
      <c r="M63" s="54"/>
      <c r="N63" s="54"/>
      <c r="O63" s="73"/>
      <c r="P63" s="73"/>
      <c r="Q63" s="73"/>
      <c r="R63" s="73"/>
      <c r="S63" s="73"/>
      <c r="T63" s="73"/>
      <c r="U63" s="73"/>
    </row>
    <row r="64" spans="4:21">
      <c r="D64" s="54">
        <f>IF(F64="","",MAX($D$46:D63)+1)</f>
        <v>18</v>
      </c>
      <c r="E64" s="54">
        <v>1420200</v>
      </c>
      <c r="F64" s="91" t="s">
        <v>986</v>
      </c>
      <c r="G64" s="54"/>
      <c r="H64" s="54">
        <f>H63*2</f>
        <v>40</v>
      </c>
      <c r="I64" s="54"/>
      <c r="J64" s="54" t="s">
        <v>799</v>
      </c>
      <c r="K64" s="54"/>
      <c r="L64" s="54">
        <v>8</v>
      </c>
      <c r="M64" s="54"/>
      <c r="N64" s="54"/>
      <c r="O64" s="73"/>
      <c r="P64" s="73"/>
      <c r="Q64" s="73"/>
      <c r="R64" s="73"/>
      <c r="S64" s="73"/>
      <c r="T64" s="73"/>
      <c r="U64" s="73"/>
    </row>
    <row r="65" spans="4:21">
      <c r="D65" s="54">
        <f>IF(F65="","",MAX($D$46:D64)+1)</f>
        <v>19</v>
      </c>
      <c r="E65" s="54">
        <v>1130100</v>
      </c>
      <c r="F65" s="91" t="s">
        <v>987</v>
      </c>
      <c r="G65" s="54"/>
      <c r="H65" s="54">
        <f>H64*2</f>
        <v>80</v>
      </c>
      <c r="I65" s="54"/>
      <c r="J65" s="54" t="s">
        <v>799</v>
      </c>
      <c r="K65" s="54"/>
      <c r="L65" s="54">
        <v>8</v>
      </c>
      <c r="M65" s="54"/>
      <c r="N65" s="54"/>
      <c r="O65" s="73"/>
      <c r="P65" s="73"/>
      <c r="Q65" s="73"/>
      <c r="R65" s="73"/>
      <c r="S65" s="73"/>
      <c r="T65" s="73"/>
      <c r="U65" s="73"/>
    </row>
    <row r="66" spans="4:21">
      <c r="D66" s="54">
        <f>IF(F66="","",MAX($D$46:D65)+1)</f>
        <v>20</v>
      </c>
      <c r="E66" s="91"/>
      <c r="F66" s="91" t="s">
        <v>988</v>
      </c>
      <c r="G66" s="91"/>
      <c r="H66" s="54">
        <f>H65*2</f>
        <v>160</v>
      </c>
      <c r="I66" s="54"/>
      <c r="J66" s="54" t="s">
        <v>799</v>
      </c>
      <c r="K66" s="91"/>
      <c r="L66" s="54">
        <v>8</v>
      </c>
      <c r="M66" s="91"/>
      <c r="N66" s="91"/>
      <c r="O66" s="73"/>
      <c r="P66" s="73"/>
      <c r="Q66" s="73"/>
      <c r="R66" s="73"/>
      <c r="S66" s="73"/>
      <c r="T66" s="73"/>
      <c r="U66" s="73"/>
    </row>
    <row r="67" spans="4:21">
      <c r="D67" s="54">
        <f>IF(F67="","",MAX($D$46:D66)+1)</f>
        <v>21</v>
      </c>
      <c r="E67" s="91"/>
      <c r="F67" s="91" t="s">
        <v>989</v>
      </c>
      <c r="G67" s="91"/>
      <c r="H67" s="54">
        <f>H66*2</f>
        <v>320</v>
      </c>
      <c r="I67" s="54"/>
      <c r="J67" s="54" t="s">
        <v>799</v>
      </c>
      <c r="K67" s="91"/>
      <c r="L67" s="54">
        <v>8</v>
      </c>
      <c r="M67" s="91"/>
      <c r="N67" s="91"/>
      <c r="O67" s="73"/>
      <c r="P67" s="73"/>
      <c r="Q67" s="73"/>
      <c r="R67" s="73"/>
      <c r="S67" s="73"/>
      <c r="T67" s="73"/>
      <c r="U67" s="73"/>
    </row>
    <row r="68" spans="4:21">
      <c r="D68" s="54">
        <f>IF(F68="","",MAX($D$46:D67)+1)</f>
        <v>22</v>
      </c>
      <c r="E68" s="91">
        <v>13101001</v>
      </c>
      <c r="F68" s="54" t="s">
        <v>990</v>
      </c>
      <c r="G68" s="91"/>
      <c r="H68" s="91">
        <v>6</v>
      </c>
      <c r="I68" s="91"/>
      <c r="J68" s="54" t="s">
        <v>799</v>
      </c>
      <c r="K68" s="91"/>
      <c r="L68" s="54">
        <v>8</v>
      </c>
      <c r="M68" s="91"/>
      <c r="N68" s="91"/>
      <c r="O68" s="73"/>
      <c r="P68" s="73"/>
      <c r="Q68" s="73"/>
      <c r="R68" s="73"/>
      <c r="S68" s="73"/>
      <c r="T68" s="73"/>
      <c r="U68" s="73"/>
    </row>
    <row r="69" spans="4:21">
      <c r="D69" s="54">
        <f>IF(F69="","",MAX($D$46:D68)+1)</f>
        <v>23</v>
      </c>
      <c r="E69" s="91">
        <v>14202001</v>
      </c>
      <c r="F69" s="91" t="s">
        <v>991</v>
      </c>
      <c r="G69" s="91"/>
      <c r="H69" s="91">
        <v>12</v>
      </c>
      <c r="I69" s="91"/>
      <c r="J69" s="54" t="s">
        <v>799</v>
      </c>
      <c r="K69" s="91"/>
      <c r="L69" s="54">
        <v>8</v>
      </c>
      <c r="M69" s="91"/>
      <c r="N69" s="91"/>
      <c r="O69" s="73"/>
      <c r="P69" s="73"/>
      <c r="Q69" s="73"/>
      <c r="R69" s="73"/>
      <c r="S69" s="73"/>
      <c r="T69" s="73"/>
      <c r="U69" s="73"/>
    </row>
    <row r="70" spans="4:21">
      <c r="D70" s="54">
        <f>IF(F70="","",MAX($D$46:D69)+1)</f>
        <v>24</v>
      </c>
      <c r="E70" s="54">
        <v>11301001</v>
      </c>
      <c r="F70" s="91" t="s">
        <v>992</v>
      </c>
      <c r="G70" s="54"/>
      <c r="H70" s="91">
        <v>24</v>
      </c>
      <c r="I70" s="54"/>
      <c r="J70" s="54" t="s">
        <v>799</v>
      </c>
      <c r="K70" s="54"/>
      <c r="L70" s="54">
        <v>8</v>
      </c>
      <c r="M70" s="54"/>
      <c r="N70" s="54"/>
      <c r="O70" s="73"/>
      <c r="P70" s="73"/>
      <c r="Q70" s="73"/>
      <c r="R70" s="73"/>
      <c r="S70" s="73"/>
      <c r="T70" s="73"/>
      <c r="U70" s="73"/>
    </row>
    <row r="71" spans="4:21">
      <c r="D71" s="54">
        <f>IF(F71="","",MAX($D$46:D70)+1)</f>
        <v>25</v>
      </c>
      <c r="E71" s="54"/>
      <c r="F71" s="91" t="s">
        <v>993</v>
      </c>
      <c r="G71" s="54"/>
      <c r="H71" s="91">
        <v>48</v>
      </c>
      <c r="I71" s="91"/>
      <c r="J71" s="54" t="s">
        <v>799</v>
      </c>
      <c r="K71" s="91"/>
      <c r="L71" s="54">
        <v>8</v>
      </c>
      <c r="M71" s="91"/>
      <c r="N71" s="91"/>
      <c r="O71" s="73"/>
      <c r="P71" s="73"/>
      <c r="Q71" s="73"/>
      <c r="R71" s="73"/>
      <c r="S71" s="73"/>
      <c r="T71" s="73"/>
      <c r="U71" s="73"/>
    </row>
    <row r="72" spans="4:21">
      <c r="D72" s="54">
        <f>IF(F72="","",MAX($D$46:D71)+1)</f>
        <v>26</v>
      </c>
      <c r="E72" s="54"/>
      <c r="F72" s="91" t="s">
        <v>994</v>
      </c>
      <c r="G72" s="54"/>
      <c r="H72" s="91">
        <v>96</v>
      </c>
      <c r="I72" s="91"/>
      <c r="J72" s="54" t="s">
        <v>799</v>
      </c>
      <c r="K72" s="91"/>
      <c r="L72" s="54">
        <v>8</v>
      </c>
      <c r="M72" s="91"/>
      <c r="N72" s="91"/>
      <c r="O72" s="73"/>
      <c r="P72" s="73"/>
      <c r="Q72" s="73"/>
      <c r="R72" s="73"/>
      <c r="S72" s="73"/>
      <c r="T72" s="73"/>
      <c r="U72" s="73"/>
    </row>
    <row r="73" spans="4:21">
      <c r="D73" s="54" t="str">
        <f>IF(F73="","",MAX($D$46:D72)+1)</f>
        <v/>
      </c>
      <c r="E73" s="54"/>
      <c r="F73" s="91"/>
      <c r="G73" s="54"/>
      <c r="H73" s="91"/>
      <c r="I73" s="91"/>
      <c r="J73" s="54"/>
      <c r="K73" s="91"/>
      <c r="L73" s="54"/>
      <c r="M73" s="91"/>
      <c r="N73" s="91"/>
      <c r="O73" s="73"/>
      <c r="P73" s="73"/>
      <c r="Q73" s="73"/>
      <c r="R73" s="73"/>
      <c r="S73" s="73"/>
      <c r="T73" s="73"/>
      <c r="U73" s="73"/>
    </row>
    <row r="74" spans="4:21">
      <c r="D74" s="54">
        <f>IF(F74="","",MAX($D$46:D73)+1)</f>
        <v>27</v>
      </c>
      <c r="E74" s="54">
        <v>50</v>
      </c>
      <c r="F74" s="91" t="s">
        <v>995</v>
      </c>
      <c r="G74" s="54"/>
      <c r="H74" s="91">
        <v>0.1</v>
      </c>
      <c r="I74" s="91"/>
      <c r="J74" s="54"/>
      <c r="K74" s="91"/>
      <c r="L74" s="54"/>
      <c r="M74" s="91"/>
      <c r="N74" s="91"/>
      <c r="O74" s="73"/>
      <c r="P74" s="73"/>
      <c r="Q74" s="73"/>
      <c r="R74" s="73"/>
      <c r="S74" s="73"/>
      <c r="T74" s="73"/>
      <c r="U74" s="73"/>
    </row>
    <row r="75" spans="4:21">
      <c r="D75" s="54">
        <f>IF(F75="","",MAX($D$46:D74)+1)</f>
        <v>28</v>
      </c>
      <c r="E75" s="54">
        <v>5523001</v>
      </c>
      <c r="F75" s="91" t="s">
        <v>996</v>
      </c>
      <c r="G75" s="54"/>
      <c r="H75" s="91">
        <v>0.33</v>
      </c>
      <c r="I75" s="91"/>
      <c r="J75" s="54"/>
      <c r="K75" s="91"/>
      <c r="L75" s="54"/>
      <c r="M75" s="91"/>
      <c r="N75" s="91"/>
      <c r="O75" s="73"/>
      <c r="P75" s="73"/>
      <c r="Q75" s="73"/>
      <c r="R75" s="73"/>
      <c r="S75" s="73"/>
      <c r="T75" s="73"/>
      <c r="U75" s="73"/>
    </row>
    <row r="76" spans="4:21">
      <c r="D76" s="54">
        <f>IF(F76="","",MAX($D$46:D75)+1)</f>
        <v>29</v>
      </c>
      <c r="E76" s="54">
        <v>47</v>
      </c>
      <c r="F76" s="91" t="s">
        <v>997</v>
      </c>
      <c r="G76" s="54"/>
      <c r="H76" s="91">
        <f>68.8/100</f>
        <v>0.688</v>
      </c>
      <c r="I76" s="91"/>
      <c r="J76" s="54"/>
      <c r="K76" s="91"/>
      <c r="L76" s="54"/>
      <c r="M76" s="91"/>
      <c r="N76" s="91"/>
      <c r="O76" s="73"/>
      <c r="P76" s="73"/>
      <c r="Q76" s="73"/>
      <c r="R76" s="73"/>
      <c r="S76" s="73"/>
      <c r="T76" s="73"/>
      <c r="U76" s="73"/>
    </row>
    <row r="77" spans="4:21">
      <c r="D77" s="54" t="str">
        <f>IF(F77="","",MAX($D$46:D76)+1)</f>
        <v/>
      </c>
      <c r="E77" s="54"/>
      <c r="F77" s="91"/>
      <c r="G77" s="54"/>
      <c r="H77" s="91"/>
      <c r="I77" s="91"/>
      <c r="J77" s="54"/>
      <c r="K77" s="91"/>
      <c r="L77" s="54"/>
      <c r="M77" s="91"/>
      <c r="N77" s="91"/>
      <c r="O77" s="73"/>
      <c r="P77" s="73"/>
      <c r="Q77" s="73"/>
      <c r="R77" s="73"/>
      <c r="S77" s="73"/>
      <c r="T77" s="73"/>
      <c r="U77" s="73"/>
    </row>
    <row r="78" spans="4:21">
      <c r="D78" s="54" t="str">
        <f>IF(F78="","",MAX($D$46:D77)+1)</f>
        <v/>
      </c>
      <c r="E78" s="54"/>
      <c r="F78" s="91"/>
      <c r="G78" s="54"/>
      <c r="H78" s="54"/>
      <c r="I78" s="91"/>
      <c r="J78" s="91"/>
      <c r="K78" s="91"/>
      <c r="L78" s="91"/>
      <c r="M78" s="91"/>
      <c r="N78" s="91"/>
      <c r="O78" s="73"/>
      <c r="P78" s="73"/>
      <c r="Q78" s="73"/>
      <c r="R78" s="73"/>
      <c r="S78" s="73"/>
      <c r="T78" s="73"/>
      <c r="U78" s="73"/>
    </row>
    <row r="79" spans="4:21">
      <c r="D79" s="54">
        <f>IF(F79="","",MAX($D$46:D78)+1)</f>
        <v>30</v>
      </c>
      <c r="E79" s="54">
        <v>50002</v>
      </c>
      <c r="F79" s="54" t="s">
        <v>998</v>
      </c>
      <c r="G79" s="54" t="s">
        <v>999</v>
      </c>
      <c r="H79" s="54">
        <v>3</v>
      </c>
      <c r="I79" s="91"/>
      <c r="J79" s="91" t="s">
        <v>973</v>
      </c>
      <c r="K79" s="91"/>
      <c r="L79" s="91">
        <v>8</v>
      </c>
      <c r="M79" s="91"/>
      <c r="N79" s="91" t="s">
        <v>1000</v>
      </c>
      <c r="O79" s="73"/>
      <c r="P79" s="73"/>
      <c r="Q79" s="73"/>
      <c r="R79" s="73"/>
      <c r="S79" s="73"/>
      <c r="T79" s="73"/>
      <c r="U79" s="73"/>
    </row>
    <row r="80" spans="4:21">
      <c r="D80" s="54">
        <f>IF(F80="","",MAX($D$46:D79)+1)</f>
        <v>31</v>
      </c>
      <c r="E80" s="54">
        <v>50001</v>
      </c>
      <c r="F80" s="54" t="s">
        <v>1001</v>
      </c>
      <c r="G80" s="54"/>
      <c r="H80" s="54">
        <v>0.1</v>
      </c>
      <c r="I80" s="91"/>
      <c r="J80" s="91" t="s">
        <v>973</v>
      </c>
      <c r="K80" s="91"/>
      <c r="L80" s="91">
        <v>5</v>
      </c>
      <c r="M80" s="91" t="s">
        <v>914</v>
      </c>
      <c r="N80" s="91" t="s">
        <v>974</v>
      </c>
      <c r="O80" s="73"/>
      <c r="P80" s="73"/>
      <c r="Q80" s="73"/>
      <c r="R80" s="73"/>
      <c r="S80" s="73"/>
      <c r="T80" s="73"/>
      <c r="U80" s="73"/>
    </row>
    <row r="81" spans="4:21">
      <c r="D81" s="54">
        <f>IF(F81="","",MAX($D$46:D80)+1)</f>
        <v>32</v>
      </c>
      <c r="E81" s="54"/>
      <c r="F81" s="54" t="s">
        <v>1002</v>
      </c>
      <c r="G81" s="54"/>
      <c r="H81" s="66">
        <v>15</v>
      </c>
      <c r="I81" s="91"/>
      <c r="J81" s="91" t="s">
        <v>973</v>
      </c>
      <c r="K81" s="91"/>
      <c r="L81" s="91"/>
      <c r="M81" s="91"/>
      <c r="N81" s="91"/>
      <c r="O81" s="73"/>
      <c r="P81" s="73"/>
      <c r="Q81" s="73"/>
      <c r="R81" s="73"/>
      <c r="S81" s="73"/>
      <c r="T81" s="73"/>
      <c r="U81" s="73"/>
    </row>
    <row r="82" spans="4:21">
      <c r="D82" s="54">
        <f>IF(F82="","",MAX($D$46:D81)+1)</f>
        <v>33</v>
      </c>
      <c r="E82" s="54"/>
      <c r="F82" s="54" t="s">
        <v>1003</v>
      </c>
      <c r="G82" s="54"/>
      <c r="H82" s="66">
        <v>50</v>
      </c>
      <c r="I82" s="91"/>
      <c r="J82" s="91" t="s">
        <v>973</v>
      </c>
      <c r="K82" s="91"/>
      <c r="L82" s="91"/>
      <c r="M82" s="91"/>
      <c r="N82" s="91"/>
      <c r="O82" s="73"/>
      <c r="P82" s="73"/>
      <c r="Q82" s="73"/>
      <c r="R82" s="73"/>
      <c r="S82" s="73"/>
      <c r="T82" s="73"/>
      <c r="U82" s="73"/>
    </row>
    <row r="83" spans="4:21">
      <c r="D83" s="54">
        <f>IF(F83="","",MAX($D$46:D82)+1)</f>
        <v>34</v>
      </c>
      <c r="E83" s="54"/>
      <c r="F83" s="54" t="s">
        <v>1004</v>
      </c>
      <c r="G83" s="54"/>
      <c r="H83" s="66">
        <v>15</v>
      </c>
      <c r="I83" s="91"/>
      <c r="J83" s="91" t="s">
        <v>973</v>
      </c>
      <c r="K83" s="91"/>
      <c r="L83" s="91"/>
      <c r="M83" s="91"/>
      <c r="N83" s="91"/>
      <c r="O83" s="73"/>
      <c r="P83" s="73"/>
      <c r="Q83" s="73"/>
      <c r="R83" s="73"/>
      <c r="S83" s="73"/>
      <c r="T83" s="73"/>
      <c r="U83" s="73"/>
    </row>
    <row r="84" spans="4:21">
      <c r="D84" s="54">
        <f>IF(F84="","",MAX($D$46:D82)+1)</f>
        <v>34</v>
      </c>
      <c r="E84" s="54"/>
      <c r="F84" s="54" t="s">
        <v>1005</v>
      </c>
      <c r="G84" s="54"/>
      <c r="H84" s="54"/>
      <c r="I84" s="91"/>
      <c r="J84" s="91" t="s">
        <v>973</v>
      </c>
      <c r="K84" s="91"/>
      <c r="L84" s="91"/>
      <c r="M84" s="91"/>
      <c r="N84" s="91"/>
      <c r="O84" s="73"/>
      <c r="P84" s="73"/>
      <c r="Q84" s="73"/>
      <c r="R84" s="73"/>
      <c r="S84" s="73"/>
      <c r="T84" s="73"/>
      <c r="U84" s="73"/>
    </row>
    <row r="85" spans="4:21">
      <c r="D85" s="54">
        <f>IF(F85="","",MAX($D$46:D84)+1)</f>
        <v>35</v>
      </c>
      <c r="E85" s="54"/>
      <c r="F85" s="54" t="s">
        <v>1006</v>
      </c>
      <c r="G85" s="54"/>
      <c r="H85" s="54"/>
      <c r="I85" s="91"/>
      <c r="J85" s="91" t="s">
        <v>973</v>
      </c>
      <c r="K85" s="91"/>
      <c r="L85" s="91"/>
      <c r="M85" s="91"/>
      <c r="N85" s="91"/>
      <c r="O85" s="73"/>
      <c r="P85" s="73"/>
      <c r="Q85" s="73"/>
      <c r="R85" s="73"/>
      <c r="S85" s="73"/>
      <c r="T85" s="73"/>
      <c r="U85" s="73"/>
    </row>
    <row r="86" spans="4:21">
      <c r="D86" s="54">
        <f>IF(F86="","",MAX($D$46:D85)+1)</f>
        <v>36</v>
      </c>
      <c r="E86" s="54"/>
      <c r="F86" s="54" t="s">
        <v>1007</v>
      </c>
      <c r="G86" s="54"/>
      <c r="H86" s="54"/>
      <c r="I86" s="91"/>
      <c r="J86" s="91" t="s">
        <v>973</v>
      </c>
      <c r="K86" s="91"/>
      <c r="L86" s="91"/>
      <c r="M86" s="91"/>
      <c r="N86" s="91"/>
      <c r="O86" s="73"/>
      <c r="P86" s="73"/>
      <c r="Q86" s="73"/>
      <c r="R86" s="73"/>
      <c r="S86" s="73"/>
      <c r="T86" s="73"/>
      <c r="U86" s="73"/>
    </row>
    <row r="87" spans="4:21">
      <c r="D87" s="54">
        <f>IF(F87="","",MAX($D$46:D86)+1)</f>
        <v>37</v>
      </c>
      <c r="E87" s="54"/>
      <c r="F87" s="54" t="s">
        <v>1008</v>
      </c>
      <c r="G87" s="54"/>
      <c r="H87" s="54"/>
      <c r="I87" s="91"/>
      <c r="J87" s="91" t="s">
        <v>973</v>
      </c>
      <c r="K87" s="91"/>
      <c r="L87" s="91"/>
      <c r="M87" s="91"/>
      <c r="N87" s="91"/>
      <c r="O87" s="73"/>
      <c r="P87" s="73"/>
      <c r="Q87" s="73"/>
      <c r="R87" s="73"/>
      <c r="S87" s="73"/>
      <c r="T87" s="73"/>
      <c r="U87" s="73"/>
    </row>
    <row r="88" spans="4:21">
      <c r="D88" s="54">
        <f>IF(F88="","",MAX($D$46:D87)+1)</f>
        <v>38</v>
      </c>
      <c r="E88" s="54"/>
      <c r="F88" s="54" t="s">
        <v>1009</v>
      </c>
      <c r="G88" s="54"/>
      <c r="H88" s="54"/>
      <c r="I88" s="91"/>
      <c r="J88" s="91" t="s">
        <v>973</v>
      </c>
      <c r="K88" s="91"/>
      <c r="L88" s="91"/>
      <c r="M88" s="91"/>
      <c r="N88" s="91"/>
      <c r="O88" s="73"/>
      <c r="P88" s="73"/>
      <c r="Q88" s="73"/>
      <c r="R88" s="73"/>
      <c r="S88" s="73"/>
      <c r="T88" s="73"/>
      <c r="U88" s="73"/>
    </row>
    <row r="89" spans="4:21">
      <c r="D89" s="54">
        <f>IF(F89="","",MAX($D$46:D88)+1)</f>
        <v>39</v>
      </c>
      <c r="E89" s="54"/>
      <c r="F89" s="54" t="s">
        <v>1010</v>
      </c>
      <c r="G89" s="54"/>
      <c r="H89" s="54"/>
      <c r="I89" s="91"/>
      <c r="J89" s="91" t="s">
        <v>973</v>
      </c>
      <c r="K89" s="91">
        <f>1000/0.7*0.2</f>
        <v>285.714285714286</v>
      </c>
      <c r="L89" s="91"/>
      <c r="M89" s="91"/>
      <c r="N89" s="91"/>
      <c r="O89" s="73"/>
      <c r="P89" s="73"/>
      <c r="Q89" s="73"/>
      <c r="R89" s="73"/>
      <c r="S89" s="73"/>
      <c r="T89" s="73"/>
      <c r="U89" s="73"/>
    </row>
    <row r="90" spans="4:21">
      <c r="D90" s="54">
        <f>IF(F90="","",MAX($D$46:D89)+1)</f>
        <v>40</v>
      </c>
      <c r="E90" s="54"/>
      <c r="F90" s="54" t="s">
        <v>1011</v>
      </c>
      <c r="G90" s="54"/>
      <c r="H90" s="54"/>
      <c r="I90" s="91"/>
      <c r="J90" s="91" t="s">
        <v>973</v>
      </c>
      <c r="K90" s="91">
        <f>1000/0.7/0.03</f>
        <v>47619.0476190476</v>
      </c>
      <c r="L90" s="91"/>
      <c r="M90" s="91"/>
      <c r="N90" s="91"/>
      <c r="O90" s="73"/>
      <c r="P90" s="73"/>
      <c r="Q90" s="73"/>
      <c r="R90" s="73"/>
      <c r="S90" s="73"/>
      <c r="T90" s="73"/>
      <c r="U90" s="73"/>
    </row>
    <row r="91" spans="4:21">
      <c r="D91" s="54" t="str">
        <f>IF(F91="","",MAX($D$46:D90)+1)</f>
        <v/>
      </c>
      <c r="E91" s="54"/>
      <c r="F91" s="54"/>
      <c r="G91" s="54"/>
      <c r="H91" s="54"/>
      <c r="I91" s="91"/>
      <c r="J91" s="91"/>
      <c r="K91" s="91"/>
      <c r="L91" s="91"/>
      <c r="M91" s="91"/>
      <c r="N91" s="91"/>
      <c r="O91" s="73"/>
      <c r="P91" s="73"/>
      <c r="Q91" s="73"/>
      <c r="R91" s="73"/>
      <c r="S91" s="73"/>
      <c r="T91" s="73"/>
      <c r="U91" s="73"/>
    </row>
    <row r="92" spans="4:21">
      <c r="D92" s="54" t="str">
        <f>IF(F92="","",MAX($D$46:D91)+1)</f>
        <v/>
      </c>
      <c r="E92" s="54"/>
      <c r="F92" s="54"/>
      <c r="G92" s="54"/>
      <c r="H92" s="54"/>
      <c r="I92" s="91"/>
      <c r="J92" s="91"/>
      <c r="K92" s="91">
        <f>50000*0.03</f>
        <v>1500</v>
      </c>
      <c r="L92" s="91"/>
      <c r="M92" s="91"/>
      <c r="N92" s="91"/>
      <c r="O92" s="73"/>
      <c r="P92" s="73"/>
      <c r="Q92" s="73"/>
      <c r="R92" s="73"/>
      <c r="S92" s="73"/>
      <c r="T92" s="73"/>
      <c r="U92" s="73"/>
    </row>
    <row r="93" spans="4:21">
      <c r="D93" s="54">
        <f>IF(F93="","",MAX($D$46:D92)+1)</f>
        <v>41</v>
      </c>
      <c r="E93" s="54">
        <v>9</v>
      </c>
      <c r="F93" s="54" t="s">
        <v>1012</v>
      </c>
      <c r="G93" s="54" t="s">
        <v>1013</v>
      </c>
      <c r="H93" s="54">
        <v>50</v>
      </c>
      <c r="I93" s="54"/>
      <c r="J93" s="54" t="s">
        <v>977</v>
      </c>
      <c r="K93" s="54"/>
      <c r="L93" s="54"/>
      <c r="M93" s="54" t="s">
        <v>1014</v>
      </c>
      <c r="N93" s="54"/>
    </row>
    <row r="94" spans="4:21">
      <c r="D94" s="54">
        <f>IF(F94="","",MAX($D$46:D93)+1)</f>
        <v>42</v>
      </c>
      <c r="E94" s="54">
        <v>30</v>
      </c>
      <c r="F94" s="59" t="s">
        <v>1015</v>
      </c>
      <c r="G94" s="54"/>
      <c r="H94" s="54">
        <v>280</v>
      </c>
      <c r="I94" s="54"/>
      <c r="J94" s="54" t="s">
        <v>977</v>
      </c>
      <c r="K94" s="54"/>
      <c r="L94" s="54">
        <v>5</v>
      </c>
      <c r="M94" s="54" t="s">
        <v>1016</v>
      </c>
      <c r="N94" s="54"/>
    </row>
    <row r="95" spans="4:21">
      <c r="D95" s="54">
        <f>IF(F95="","",MAX($D$46:D94)+1)</f>
        <v>43</v>
      </c>
      <c r="E95" s="54">
        <v>5303001</v>
      </c>
      <c r="F95" s="54" t="s">
        <v>1017</v>
      </c>
      <c r="G95" s="54"/>
      <c r="H95" s="54">
        <v>5</v>
      </c>
      <c r="I95" s="54"/>
      <c r="J95" s="54" t="s">
        <v>973</v>
      </c>
      <c r="K95" s="54"/>
      <c r="L95" s="54">
        <v>8</v>
      </c>
      <c r="M95" s="54" t="s">
        <v>1018</v>
      </c>
      <c r="N95" s="54"/>
    </row>
    <row r="96" spans="4:21">
      <c r="D96" s="54">
        <f>IF(F96="","",MAX($D$46:D95)+1)</f>
        <v>44</v>
      </c>
      <c r="E96" s="54">
        <v>5305001</v>
      </c>
      <c r="F96" s="54" t="s">
        <v>1019</v>
      </c>
      <c r="G96" s="54"/>
      <c r="H96" s="54">
        <v>60</v>
      </c>
      <c r="I96" s="54"/>
      <c r="J96" s="54" t="s">
        <v>977</v>
      </c>
      <c r="K96" s="54"/>
      <c r="L96" s="54">
        <v>5</v>
      </c>
      <c r="M96" s="54" t="s">
        <v>1020</v>
      </c>
      <c r="N96" s="54" t="s">
        <v>1021</v>
      </c>
    </row>
    <row r="97" spans="4:17">
      <c r="D97" s="54">
        <f>IF(F97="","",MAX($D$46:D96)+1)</f>
        <v>45</v>
      </c>
      <c r="E97" s="54">
        <v>5301000</v>
      </c>
      <c r="F97" s="54" t="s">
        <v>1022</v>
      </c>
      <c r="G97" s="54"/>
      <c r="H97" s="54">
        <v>16</v>
      </c>
      <c r="I97" s="54"/>
      <c r="J97" s="54" t="s">
        <v>973</v>
      </c>
      <c r="K97" s="54"/>
      <c r="L97" s="54"/>
      <c r="M97" s="54" t="s">
        <v>1023</v>
      </c>
      <c r="N97" s="54"/>
    </row>
    <row r="98" spans="4:17">
      <c r="D98" s="54">
        <f>IF(F98="","",MAX($D$46:D97)+1)</f>
        <v>46</v>
      </c>
      <c r="E98" s="54">
        <v>5302000</v>
      </c>
      <c r="F98" s="54" t="s">
        <v>1024</v>
      </c>
      <c r="G98" s="54"/>
      <c r="H98" s="54">
        <f>H97*4</f>
        <v>64</v>
      </c>
      <c r="I98" s="54"/>
      <c r="J98" s="54" t="s">
        <v>973</v>
      </c>
      <c r="K98" s="54"/>
      <c r="L98" s="54"/>
      <c r="M98" s="54" t="s">
        <v>1025</v>
      </c>
      <c r="N98" s="54"/>
    </row>
    <row r="99" spans="4:17">
      <c r="D99" s="54">
        <f>IF(F99="","",MAX($D$46:D98)+1)</f>
        <v>47</v>
      </c>
      <c r="E99" s="54">
        <v>5303000</v>
      </c>
      <c r="F99" s="54" t="s">
        <v>1026</v>
      </c>
      <c r="G99" s="54"/>
      <c r="H99" s="54">
        <f t="shared" ref="H99:H103" si="0">H98*4</f>
        <v>256</v>
      </c>
      <c r="I99" s="54"/>
      <c r="J99" s="54" t="s">
        <v>973</v>
      </c>
      <c r="K99" s="54"/>
      <c r="L99" s="54"/>
      <c r="M99" s="54" t="s">
        <v>1027</v>
      </c>
      <c r="N99" s="54"/>
    </row>
    <row r="100" spans="4:17">
      <c r="D100" s="54">
        <f>IF(F100="","",MAX($D$46:D99)+1)</f>
        <v>48</v>
      </c>
      <c r="E100" s="54">
        <v>5304000</v>
      </c>
      <c r="F100" s="54" t="s">
        <v>1028</v>
      </c>
      <c r="G100" s="54"/>
      <c r="H100" s="54">
        <f t="shared" si="0"/>
        <v>1024</v>
      </c>
      <c r="I100" s="54"/>
      <c r="J100" s="54" t="s">
        <v>973</v>
      </c>
      <c r="K100" s="54"/>
      <c r="L100" s="54"/>
      <c r="M100" s="54" t="s">
        <v>1029</v>
      </c>
      <c r="N100" s="54"/>
    </row>
    <row r="101" spans="4:17">
      <c r="D101" s="54">
        <f>IF(F101="","",MAX($D$46:D100)+1)</f>
        <v>49</v>
      </c>
      <c r="E101" s="54">
        <v>5305000</v>
      </c>
      <c r="F101" s="54" t="s">
        <v>1030</v>
      </c>
      <c r="G101" s="54"/>
      <c r="H101" s="54">
        <f t="shared" si="0"/>
        <v>4096</v>
      </c>
      <c r="I101" s="54"/>
      <c r="J101" s="54" t="s">
        <v>973</v>
      </c>
      <c r="K101" s="54"/>
      <c r="L101" s="54"/>
      <c r="M101" s="54" t="s">
        <v>1031</v>
      </c>
      <c r="N101" s="54" t="s">
        <v>1021</v>
      </c>
      <c r="Q101" s="17">
        <f>1.6+1/0.4</f>
        <v>4.1</v>
      </c>
    </row>
    <row r="102" spans="4:17">
      <c r="D102" s="54">
        <f>IF(F102="","",MAX($D$46:D101)+1)</f>
        <v>50</v>
      </c>
      <c r="E102" s="54">
        <v>5306000</v>
      </c>
      <c r="F102" s="54" t="s">
        <v>1032</v>
      </c>
      <c r="G102" s="54"/>
      <c r="H102" s="54">
        <f t="shared" si="0"/>
        <v>16384</v>
      </c>
      <c r="I102" s="54"/>
      <c r="J102" s="54" t="s">
        <v>973</v>
      </c>
      <c r="K102" s="54"/>
      <c r="L102" s="54"/>
      <c r="M102" s="54" t="s">
        <v>1033</v>
      </c>
      <c r="N102" s="54" t="s">
        <v>1034</v>
      </c>
      <c r="Q102" s="17">
        <f>Q101*0.4</f>
        <v>1.64</v>
      </c>
    </row>
    <row r="103" spans="4:17">
      <c r="D103" s="54">
        <f>IF(F103="","",MAX($D$46:D102)+1)</f>
        <v>51</v>
      </c>
      <c r="E103" s="54">
        <v>5307000</v>
      </c>
      <c r="F103" s="54" t="s">
        <v>1035</v>
      </c>
      <c r="G103" s="54"/>
      <c r="H103" s="54">
        <f t="shared" si="0"/>
        <v>65536</v>
      </c>
      <c r="I103" s="54"/>
      <c r="J103" s="54" t="s">
        <v>973</v>
      </c>
      <c r="K103" s="54"/>
      <c r="L103" s="54"/>
      <c r="M103" s="54" t="s">
        <v>1036</v>
      </c>
      <c r="N103" s="90" t="s">
        <v>1037</v>
      </c>
    </row>
    <row r="104" spans="4:17">
      <c r="D104" s="54">
        <f>IF(F104="","",MAX($D$46:D103)+1)</f>
        <v>52</v>
      </c>
      <c r="E104" s="54">
        <v>5401000</v>
      </c>
      <c r="F104" s="54" t="s">
        <v>1038</v>
      </c>
      <c r="G104" s="54"/>
      <c r="H104" s="54">
        <v>17.728</v>
      </c>
      <c r="I104" s="54"/>
      <c r="J104" s="54"/>
      <c r="K104" s="54"/>
      <c r="L104" s="54"/>
      <c r="M104" s="54"/>
      <c r="N104" s="54"/>
    </row>
    <row r="105" spans="4:17">
      <c r="D105" s="54">
        <f>IF(F105="","",MAX($D$46:D104)+1)</f>
        <v>53</v>
      </c>
      <c r="E105" s="54">
        <v>5203001</v>
      </c>
      <c r="F105" s="54" t="s">
        <v>1039</v>
      </c>
      <c r="G105" s="54" t="s">
        <v>1040</v>
      </c>
      <c r="H105" s="54">
        <v>3</v>
      </c>
      <c r="I105" s="54"/>
      <c r="J105" s="54" t="s">
        <v>973</v>
      </c>
      <c r="K105" s="54"/>
      <c r="L105" s="54">
        <v>6</v>
      </c>
      <c r="M105" s="54" t="s">
        <v>1041</v>
      </c>
      <c r="N105" s="54" t="s">
        <v>957</v>
      </c>
    </row>
    <row r="106" spans="4:17">
      <c r="D106" s="54">
        <f>IF(F106="","",MAX($D$46:D105)+1)</f>
        <v>54</v>
      </c>
      <c r="E106" s="54">
        <v>5205001</v>
      </c>
      <c r="F106" s="54" t="s">
        <v>1042</v>
      </c>
      <c r="G106" s="54"/>
      <c r="H106" s="54">
        <v>500</v>
      </c>
      <c r="I106" s="54"/>
      <c r="J106" s="54" t="s">
        <v>1043</v>
      </c>
      <c r="K106" s="54"/>
      <c r="L106" s="54"/>
      <c r="M106" s="54" t="s">
        <v>1044</v>
      </c>
      <c r="N106" s="54"/>
    </row>
    <row r="107" spans="4:17">
      <c r="D107" s="54">
        <f>IF(F107="","",MAX($D$46:D106)+1)</f>
        <v>55</v>
      </c>
      <c r="E107" s="54">
        <v>5204001</v>
      </c>
      <c r="F107" s="54" t="s">
        <v>1045</v>
      </c>
      <c r="G107" s="54"/>
      <c r="H107" s="54">
        <v>5</v>
      </c>
      <c r="I107" s="54"/>
      <c r="J107" s="54" t="s">
        <v>973</v>
      </c>
      <c r="K107" s="54"/>
      <c r="L107" s="54"/>
      <c r="M107" s="54"/>
      <c r="N107" s="90" t="s">
        <v>1046</v>
      </c>
    </row>
    <row r="108" spans="4:17">
      <c r="D108" s="54" t="str">
        <f>IF(F108="","",MAX($D$46:D107)+1)</f>
        <v/>
      </c>
      <c r="E108" s="54"/>
      <c r="F108" s="54"/>
      <c r="G108" s="54"/>
      <c r="H108" s="54"/>
      <c r="I108" s="54"/>
      <c r="J108" s="54"/>
      <c r="K108" s="54"/>
      <c r="L108" s="54"/>
      <c r="M108" s="54"/>
      <c r="N108" s="54"/>
    </row>
    <row r="109" spans="4:17">
      <c r="D109" s="54">
        <f>IF(F109="","",MAX($D$46:D108)+1)</f>
        <v>56</v>
      </c>
      <c r="E109" s="54">
        <v>5525002</v>
      </c>
      <c r="F109" s="54" t="s">
        <v>1047</v>
      </c>
      <c r="G109" s="54" t="s">
        <v>1048</v>
      </c>
      <c r="H109" s="54">
        <v>0.33</v>
      </c>
      <c r="I109" s="54"/>
      <c r="J109" s="54" t="s">
        <v>1049</v>
      </c>
      <c r="K109" s="54"/>
      <c r="L109" s="54"/>
      <c r="M109" s="54"/>
      <c r="N109" s="54"/>
    </row>
    <row r="110" spans="4:17">
      <c r="D110" s="54">
        <f>IF(F110="","",MAX($D$46:D109)+1)</f>
        <v>57</v>
      </c>
      <c r="E110" s="54"/>
      <c r="F110" s="54" t="s">
        <v>1050</v>
      </c>
      <c r="G110" s="54"/>
      <c r="H110" s="54">
        <v>0.02</v>
      </c>
      <c r="I110" s="54"/>
      <c r="J110" s="54"/>
      <c r="K110" s="54"/>
      <c r="L110" s="54"/>
      <c r="M110" s="54"/>
      <c r="N110" s="54"/>
    </row>
    <row r="111" spans="4:17">
      <c r="D111" s="54"/>
      <c r="E111" s="54"/>
      <c r="F111" s="54"/>
      <c r="G111" s="54" t="s">
        <v>1051</v>
      </c>
      <c r="H111" s="54"/>
      <c r="I111" s="54"/>
      <c r="J111" s="54"/>
      <c r="K111" s="54"/>
      <c r="L111" s="54"/>
      <c r="M111" s="54"/>
      <c r="N111" s="54"/>
    </row>
    <row r="112" spans="4:17">
      <c r="D112" s="54"/>
      <c r="E112" s="92">
        <v>59</v>
      </c>
      <c r="F112" s="92" t="s">
        <v>1052</v>
      </c>
      <c r="G112" s="92"/>
      <c r="H112" s="92">
        <v>0.1</v>
      </c>
      <c r="I112" s="54"/>
      <c r="J112" s="54"/>
      <c r="K112" s="54"/>
      <c r="L112" s="54"/>
      <c r="M112" s="54"/>
      <c r="N112" s="54"/>
    </row>
    <row r="113" spans="4:14">
      <c r="D113" s="54"/>
      <c r="E113" s="54"/>
      <c r="F113" s="54"/>
      <c r="G113" s="54"/>
      <c r="H113" s="54"/>
      <c r="I113" s="54"/>
      <c r="J113" s="54"/>
      <c r="K113" s="54"/>
      <c r="L113" s="54"/>
      <c r="M113" s="54"/>
      <c r="N113" s="54"/>
    </row>
    <row r="114" spans="4:14">
      <c r="D114" s="54">
        <f>IF(F114="","",MAX($D$46:D108)+1)</f>
        <v>56</v>
      </c>
      <c r="E114" s="54"/>
      <c r="F114" s="54" t="s">
        <v>1053</v>
      </c>
      <c r="G114" s="54"/>
      <c r="H114" s="54">
        <v>100</v>
      </c>
      <c r="I114" s="54"/>
      <c r="J114" s="54" t="s">
        <v>247</v>
      </c>
      <c r="K114" s="54"/>
      <c r="L114" s="54"/>
      <c r="M114" s="54"/>
      <c r="N114" s="54"/>
    </row>
    <row r="115" spans="4:14">
      <c r="D115" s="54" t="str">
        <f>IF(F115="","",MAX($D$46:D114)+1)</f>
        <v/>
      </c>
      <c r="E115" s="54"/>
      <c r="F115" s="54"/>
      <c r="G115" s="54"/>
      <c r="H115" s="54"/>
      <c r="I115" s="54"/>
      <c r="J115" s="54"/>
      <c r="K115" s="54"/>
      <c r="L115" s="54"/>
      <c r="M115" s="54"/>
      <c r="N115" s="54"/>
    </row>
    <row r="116" spans="4:14">
      <c r="D116" s="54">
        <f>IF(F116="","",MAX($D$46:D115)+1)</f>
        <v>58</v>
      </c>
      <c r="E116" s="54"/>
      <c r="F116" s="54" t="s">
        <v>1054</v>
      </c>
      <c r="G116" s="54"/>
      <c r="H116" s="54">
        <v>1500</v>
      </c>
      <c r="I116" s="54">
        <v>30</v>
      </c>
      <c r="J116" s="54" t="s">
        <v>247</v>
      </c>
      <c r="K116" s="54"/>
      <c r="L116" s="54"/>
      <c r="M116" s="54"/>
      <c r="N116" s="54"/>
    </row>
    <row r="117" spans="4:14">
      <c r="D117" s="54">
        <f>IF(F117="","",MAX($D$46:D116)+1)</f>
        <v>59</v>
      </c>
      <c r="E117" s="54"/>
      <c r="F117" s="54" t="s">
        <v>1055</v>
      </c>
      <c r="G117" s="54"/>
      <c r="H117" s="54">
        <v>4000</v>
      </c>
      <c r="I117" s="54">
        <v>128</v>
      </c>
      <c r="J117" s="54" t="s">
        <v>247</v>
      </c>
      <c r="K117" s="54"/>
      <c r="L117" s="54"/>
      <c r="M117" s="54"/>
      <c r="N117" s="54"/>
    </row>
    <row r="118" ht="17.1" customHeight="1" spans="4:14">
      <c r="D118" s="54">
        <f>IF(F118="","",MAX($D$46:D117)+1)</f>
        <v>60</v>
      </c>
      <c r="E118" s="54"/>
      <c r="F118" s="54" t="s">
        <v>1056</v>
      </c>
      <c r="G118" s="54"/>
      <c r="H118" s="54">
        <v>8000</v>
      </c>
      <c r="I118" s="54">
        <v>198</v>
      </c>
      <c r="J118" s="54" t="s">
        <v>247</v>
      </c>
      <c r="K118" s="54"/>
      <c r="L118" s="54"/>
      <c r="M118" s="54"/>
      <c r="N118" s="54"/>
    </row>
    <row r="119" spans="4:14">
      <c r="D119" s="54" t="str">
        <f>IF(F119="","",MAX($D$46:D118)+1)</f>
        <v/>
      </c>
      <c r="E119" s="54"/>
      <c r="F119" s="54"/>
      <c r="G119" s="54"/>
      <c r="H119" s="54"/>
      <c r="I119" s="54"/>
      <c r="J119" s="54"/>
      <c r="K119" s="54"/>
      <c r="L119" s="54"/>
      <c r="M119" s="54"/>
      <c r="N119" s="54"/>
    </row>
    <row r="120" spans="4:14">
      <c r="D120" s="54">
        <f>IF(F120="","",MAX($D$46:D119)+1)</f>
        <v>61</v>
      </c>
      <c r="E120" s="54"/>
      <c r="F120" s="54" t="s">
        <v>1057</v>
      </c>
      <c r="G120" s="54"/>
      <c r="H120" s="54">
        <v>4000</v>
      </c>
      <c r="I120" s="54">
        <v>128</v>
      </c>
      <c r="J120" s="54"/>
      <c r="K120" s="54"/>
      <c r="L120" s="54"/>
      <c r="M120" s="54"/>
      <c r="N120" s="54"/>
    </row>
    <row r="121" spans="4:14">
      <c r="D121" s="54">
        <f>IF(F121="","",MAX($D$46:D120)+1)</f>
        <v>62</v>
      </c>
      <c r="E121" s="54"/>
      <c r="F121" s="54" t="s">
        <v>1058</v>
      </c>
      <c r="G121" s="54"/>
      <c r="H121" s="54">
        <v>8000</v>
      </c>
      <c r="I121" s="54">
        <v>168</v>
      </c>
      <c r="J121" s="54"/>
      <c r="K121" s="54"/>
      <c r="L121" s="54"/>
      <c r="M121" s="54"/>
      <c r="N121" s="54"/>
    </row>
    <row r="122" spans="4:14">
      <c r="D122" s="54" t="str">
        <f>IF(F122="","",MAX($D$46:D121)+1)</f>
        <v/>
      </c>
      <c r="E122" s="54"/>
      <c r="F122" s="54"/>
      <c r="G122" s="54"/>
      <c r="H122" s="54"/>
      <c r="I122" s="54"/>
      <c r="J122" s="54"/>
      <c r="K122" s="54"/>
      <c r="L122" s="54"/>
      <c r="M122" s="54"/>
      <c r="N122" s="54"/>
    </row>
    <row r="123" spans="4:14">
      <c r="D123" s="54">
        <f>IF(F123="","",MAX($D$46:D122)+1)</f>
        <v>63</v>
      </c>
      <c r="E123" s="54"/>
      <c r="F123" s="54" t="s">
        <v>1059</v>
      </c>
      <c r="G123" s="54"/>
      <c r="H123" s="54">
        <v>2500</v>
      </c>
      <c r="I123" s="54"/>
      <c r="J123" s="54"/>
      <c r="K123" s="54"/>
      <c r="L123" s="54"/>
      <c r="M123" s="54"/>
      <c r="N123" s="54"/>
    </row>
    <row r="124" spans="4:14">
      <c r="D124" s="54">
        <f>IF(F124="","",MAX($D$46:D123)+1)</f>
        <v>64</v>
      </c>
      <c r="E124" s="54"/>
      <c r="F124" s="54" t="s">
        <v>1060</v>
      </c>
      <c r="G124" s="54"/>
      <c r="H124" s="54">
        <v>7000</v>
      </c>
      <c r="I124" s="54">
        <f>168+98</f>
        <v>266</v>
      </c>
      <c r="J124" s="54"/>
      <c r="K124" s="54"/>
      <c r="L124" s="54"/>
      <c r="M124" s="54"/>
      <c r="N124" s="54" t="s">
        <v>1061</v>
      </c>
    </row>
    <row r="125" spans="4:14">
      <c r="D125" s="54">
        <f>IF(F125="","",MAX($D$46:D124)+1)</f>
        <v>65</v>
      </c>
      <c r="E125" s="54"/>
      <c r="F125" s="54" t="s">
        <v>1062</v>
      </c>
      <c r="G125" s="54"/>
      <c r="H125" s="54">
        <v>12000</v>
      </c>
      <c r="I125" s="54">
        <v>328</v>
      </c>
      <c r="J125" s="54"/>
      <c r="K125" s="54"/>
      <c r="L125" s="54"/>
      <c r="M125" s="54"/>
      <c r="N125" s="54" t="s">
        <v>1061</v>
      </c>
    </row>
    <row r="126" spans="4:14">
      <c r="D126" s="54" t="str">
        <f>IF(F126="","",MAX($D$46:D125)+1)</f>
        <v/>
      </c>
      <c r="E126" s="54"/>
      <c r="F126" s="54"/>
      <c r="G126" s="54"/>
      <c r="H126" s="54"/>
      <c r="I126" s="54"/>
      <c r="J126" s="54"/>
      <c r="K126" s="54"/>
      <c r="L126" s="54"/>
      <c r="M126" s="54"/>
      <c r="N126" s="54"/>
    </row>
    <row r="127" spans="4:14">
      <c r="D127" s="54">
        <f>IF(F127="","",MAX($D$46:D126)+1)</f>
        <v>66</v>
      </c>
      <c r="E127" s="54"/>
      <c r="F127" s="54" t="s">
        <v>1063</v>
      </c>
      <c r="G127" s="54"/>
      <c r="H127" s="54">
        <v>6000</v>
      </c>
      <c r="I127" s="54"/>
      <c r="J127" s="54"/>
      <c r="K127" s="54"/>
      <c r="L127" s="54"/>
      <c r="M127" s="54"/>
      <c r="N127" s="54"/>
    </row>
    <row r="128" spans="4:14">
      <c r="D128" s="54">
        <f>IF(F128="","",MAX($D$46:D127)+1)</f>
        <v>67</v>
      </c>
      <c r="E128" s="54"/>
      <c r="F128" s="54" t="s">
        <v>1064</v>
      </c>
      <c r="G128" s="54"/>
      <c r="H128" s="54">
        <v>12000</v>
      </c>
      <c r="I128" s="54"/>
      <c r="J128" s="54"/>
      <c r="K128" s="54"/>
      <c r="L128" s="54"/>
      <c r="M128" s="54"/>
      <c r="N128" s="54"/>
    </row>
    <row r="129" spans="2:14">
      <c r="D129" s="54" t="str">
        <f>IF(F129="","",MAX($D$46:D128)+1)</f>
        <v/>
      </c>
      <c r="E129" s="54"/>
      <c r="F129" s="54"/>
      <c r="G129" s="54"/>
      <c r="H129" s="54"/>
      <c r="I129" s="54"/>
      <c r="J129" s="54"/>
      <c r="K129" s="54"/>
      <c r="L129" s="54"/>
      <c r="M129" s="54"/>
      <c r="N129" s="54"/>
    </row>
    <row r="130" spans="2:14">
      <c r="D130" s="54">
        <f>IF(F130="","",MAX($D$46:D129)+1)</f>
        <v>68</v>
      </c>
      <c r="E130" s="54"/>
      <c r="F130" s="54" t="s">
        <v>1065</v>
      </c>
      <c r="G130" s="54"/>
      <c r="H130" s="54">
        <v>500</v>
      </c>
      <c r="I130" s="54"/>
      <c r="J130" s="54"/>
      <c r="K130" s="54"/>
      <c r="L130" s="54"/>
      <c r="M130" s="54"/>
      <c r="N130" s="54"/>
    </row>
    <row r="131" spans="2:14">
      <c r="D131" s="54">
        <f>IF(F131="","",MAX($D$46:D130)+1)</f>
        <v>69</v>
      </c>
      <c r="E131" s="54"/>
      <c r="F131" s="54" t="s">
        <v>1066</v>
      </c>
      <c r="G131" s="54"/>
      <c r="H131" s="54">
        <v>1000</v>
      </c>
      <c r="I131" s="54"/>
      <c r="J131" s="54"/>
      <c r="K131" s="54"/>
      <c r="L131" s="54"/>
      <c r="M131" s="54"/>
      <c r="N131" s="54"/>
    </row>
    <row r="132" spans="2:14">
      <c r="D132" s="54">
        <f>IF(F132="","",MAX($D$46:D131)+1)</f>
        <v>70</v>
      </c>
      <c r="E132" s="54"/>
      <c r="F132" s="54" t="s">
        <v>1067</v>
      </c>
      <c r="G132" s="54"/>
      <c r="H132" s="54">
        <v>1500</v>
      </c>
      <c r="I132" s="54"/>
      <c r="J132" s="54"/>
      <c r="K132" s="54"/>
      <c r="L132" s="54"/>
      <c r="M132" s="54"/>
      <c r="N132" s="54"/>
    </row>
    <row r="133" spans="2:14">
      <c r="D133" s="54" t="str">
        <f>IF(F133="","",MAX($D$46:D132)+1)</f>
        <v/>
      </c>
      <c r="E133" s="54"/>
      <c r="F133" s="54"/>
      <c r="G133" s="54"/>
      <c r="H133" s="54"/>
      <c r="I133" s="54"/>
      <c r="J133" s="54"/>
      <c r="K133" s="54"/>
      <c r="L133" s="54"/>
      <c r="M133" s="54"/>
      <c r="N133" s="54"/>
    </row>
    <row r="134" spans="2:14">
      <c r="D134" s="54"/>
      <c r="E134" s="54"/>
      <c r="F134" s="54"/>
      <c r="G134" s="54"/>
      <c r="H134" s="54"/>
      <c r="I134" s="54"/>
      <c r="J134" s="54"/>
      <c r="K134" s="54"/>
      <c r="L134" s="54"/>
      <c r="M134" s="54"/>
      <c r="N134" s="54"/>
    </row>
    <row r="135" spans="2:14">
      <c r="D135" s="54"/>
      <c r="E135" s="54"/>
      <c r="F135" s="54"/>
      <c r="G135" s="54"/>
      <c r="H135" s="54"/>
      <c r="I135" s="54"/>
      <c r="J135" s="54"/>
      <c r="K135" s="54"/>
      <c r="L135" s="54"/>
      <c r="M135" s="54"/>
      <c r="N135" s="54"/>
    </row>
    <row r="136" spans="2:14">
      <c r="D136" s="54"/>
      <c r="E136" s="54"/>
      <c r="F136" s="54"/>
      <c r="G136" s="54"/>
      <c r="H136" s="54"/>
      <c r="I136" s="54"/>
      <c r="J136" s="54"/>
      <c r="K136" s="54"/>
      <c r="L136" s="54"/>
      <c r="M136" s="54"/>
      <c r="N136" s="54"/>
    </row>
    <row r="140" spans="2:14">
      <c r="B140" s="18"/>
      <c r="C140" s="17" t="s">
        <v>1068</v>
      </c>
    </row>
    <row r="141" spans="2:14">
      <c r="D141" s="17" t="s">
        <v>1069</v>
      </c>
    </row>
    <row r="142" spans="2:14">
      <c r="D142" s="17" t="s">
        <v>1070</v>
      </c>
    </row>
    <row r="143" spans="2:14">
      <c r="D143" s="93" t="s">
        <v>214</v>
      </c>
      <c r="E143" s="93"/>
      <c r="F143" s="93"/>
      <c r="G143" s="94" t="s">
        <v>953</v>
      </c>
      <c r="H143" s="95"/>
      <c r="I143" s="95"/>
      <c r="J143" s="95"/>
      <c r="K143" s="95"/>
      <c r="L143" s="95"/>
      <c r="M143" s="95"/>
      <c r="N143" s="95"/>
    </row>
    <row r="144" spans="2:14">
      <c r="D144" s="93"/>
      <c r="E144" s="93"/>
      <c r="F144" s="93"/>
      <c r="G144" s="96" t="s">
        <v>1071</v>
      </c>
      <c r="H144" s="97"/>
      <c r="I144" s="98" t="s">
        <v>1072</v>
      </c>
      <c r="J144" s="98" t="s">
        <v>1073</v>
      </c>
      <c r="K144" s="98" t="s">
        <v>1074</v>
      </c>
      <c r="L144" s="98" t="s">
        <v>1075</v>
      </c>
      <c r="M144" s="98" t="s">
        <v>1076</v>
      </c>
      <c r="N144" s="98" t="s">
        <v>1077</v>
      </c>
    </row>
    <row r="145" spans="4:14">
      <c r="D145" s="93" t="s">
        <v>1078</v>
      </c>
      <c r="E145" s="93" t="s">
        <v>1079</v>
      </c>
      <c r="F145" s="93" t="s">
        <v>1080</v>
      </c>
      <c r="G145" s="98" t="s">
        <v>1081</v>
      </c>
      <c r="H145" s="98" t="s">
        <v>212</v>
      </c>
      <c r="I145" s="98"/>
      <c r="J145" s="98"/>
      <c r="K145" s="98"/>
      <c r="L145" s="98"/>
      <c r="M145" s="98"/>
      <c r="N145" s="98"/>
    </row>
    <row r="146" ht="17.1" customHeight="1" spans="4:14">
      <c r="D146" s="99" t="s">
        <v>544</v>
      </c>
      <c r="E146" s="99" t="s">
        <v>224</v>
      </c>
      <c r="F146" s="100" t="s">
        <v>1082</v>
      </c>
      <c r="G146" s="101">
        <v>30</v>
      </c>
      <c r="H146" s="101"/>
      <c r="I146" s="101"/>
      <c r="J146" s="101"/>
      <c r="K146" s="101"/>
      <c r="L146" s="101"/>
      <c r="M146" s="101"/>
      <c r="N146" s="101"/>
    </row>
    <row r="147" ht="17.1" customHeight="1" spans="4:14">
      <c r="D147" s="102"/>
      <c r="E147" s="102"/>
      <c r="F147" s="103" t="s">
        <v>971</v>
      </c>
      <c r="G147" s="104">
        <f>J16*60</f>
        <v>210000</v>
      </c>
      <c r="H147" s="104">
        <f>I16*60</f>
        <v>525000</v>
      </c>
      <c r="I147" s="104"/>
      <c r="J147" s="104"/>
      <c r="K147" s="104"/>
      <c r="L147" s="104"/>
      <c r="M147" s="104"/>
      <c r="N147" s="104"/>
    </row>
    <row r="148" spans="4:14">
      <c r="D148" s="105"/>
      <c r="E148" s="105"/>
      <c r="F148" s="103" t="s">
        <v>975</v>
      </c>
      <c r="G148" s="104">
        <f>J15*60</f>
        <v>360000</v>
      </c>
      <c r="H148" s="104">
        <f>I15*60</f>
        <v>900000</v>
      </c>
      <c r="I148" s="104"/>
      <c r="J148" s="104"/>
      <c r="K148" s="104"/>
      <c r="L148" s="104"/>
      <c r="M148" s="104"/>
      <c r="N148" s="104"/>
    </row>
    <row r="149" spans="4:14">
      <c r="D149" s="103" t="s">
        <v>249</v>
      </c>
      <c r="E149" s="99" t="s">
        <v>224</v>
      </c>
      <c r="F149" s="100" t="s">
        <v>1083</v>
      </c>
      <c r="G149" s="101">
        <v>89</v>
      </c>
      <c r="H149" s="101"/>
      <c r="I149" s="101"/>
      <c r="J149" s="101"/>
      <c r="K149" s="101"/>
      <c r="L149" s="101"/>
      <c r="M149" s="101"/>
      <c r="N149" s="101"/>
    </row>
    <row r="150" spans="4:14">
      <c r="D150" s="103"/>
      <c r="E150" s="102"/>
      <c r="F150" s="103" t="s">
        <v>755</v>
      </c>
      <c r="G150" s="104">
        <f>(650000*6)*H49</f>
        <v>195000</v>
      </c>
      <c r="H150" s="104"/>
      <c r="I150" s="104"/>
      <c r="J150" s="104"/>
      <c r="K150" s="104"/>
      <c r="L150" s="104"/>
      <c r="M150" s="104"/>
      <c r="N150" s="104"/>
    </row>
    <row r="151" spans="4:14">
      <c r="D151" s="99"/>
      <c r="E151" s="102"/>
      <c r="F151" s="99" t="s">
        <v>998</v>
      </c>
      <c r="G151" s="106">
        <f>12500*H79*6</f>
        <v>225000</v>
      </c>
      <c r="H151" s="106"/>
      <c r="I151" s="106"/>
      <c r="J151" s="106"/>
      <c r="K151" s="106"/>
      <c r="L151" s="106"/>
      <c r="M151" s="106"/>
      <c r="N151" s="106"/>
    </row>
    <row r="152" spans="4:14">
      <c r="D152" s="99" t="s">
        <v>371</v>
      </c>
      <c r="E152" s="103" t="s">
        <v>1084</v>
      </c>
      <c r="F152" s="107" t="s">
        <v>1085</v>
      </c>
      <c r="G152" s="101">
        <f>G153/30/10</f>
        <v>200</v>
      </c>
      <c r="H152" s="101"/>
      <c r="I152" s="101"/>
      <c r="J152" s="101"/>
      <c r="K152" s="101"/>
      <c r="L152" s="101"/>
      <c r="M152" s="101"/>
      <c r="N152" s="101"/>
    </row>
    <row r="153" spans="4:14">
      <c r="D153" s="102"/>
      <c r="E153" s="103"/>
      <c r="F153" s="25" t="s">
        <v>1022</v>
      </c>
      <c r="G153" s="104">
        <f>100*10*60</f>
        <v>60000</v>
      </c>
      <c r="H153" s="106"/>
      <c r="I153" s="106"/>
      <c r="J153" s="106"/>
      <c r="K153" s="106"/>
      <c r="L153" s="106"/>
      <c r="M153" s="106"/>
      <c r="N153" s="106"/>
    </row>
    <row r="154" spans="4:14">
      <c r="D154" s="105"/>
      <c r="E154" s="103" t="s">
        <v>1086</v>
      </c>
      <c r="F154" s="25" t="s">
        <v>1019</v>
      </c>
      <c r="G154" s="104">
        <f>J21*60</f>
        <v>6000</v>
      </c>
      <c r="H154" s="104"/>
      <c r="I154" s="104"/>
      <c r="J154" s="104"/>
      <c r="K154" s="104"/>
      <c r="L154" s="104"/>
      <c r="M154" s="104"/>
      <c r="N154" s="104"/>
    </row>
    <row r="155" spans="4:14">
      <c r="D155" s="103" t="s">
        <v>291</v>
      </c>
      <c r="E155" s="103" t="s">
        <v>224</v>
      </c>
      <c r="F155" s="107" t="s">
        <v>1087</v>
      </c>
      <c r="G155" s="101"/>
      <c r="H155" s="101"/>
      <c r="I155" s="101"/>
      <c r="J155" s="101"/>
      <c r="K155" s="101"/>
      <c r="L155" s="101"/>
      <c r="M155" s="101"/>
      <c r="N155" s="101"/>
    </row>
    <row r="156" spans="4:14">
      <c r="D156" s="103"/>
      <c r="E156" s="103"/>
      <c r="F156" s="108" t="s">
        <v>755</v>
      </c>
      <c r="G156" s="104">
        <f>600000*H49</f>
        <v>30000</v>
      </c>
      <c r="H156" s="104"/>
      <c r="I156" s="104"/>
      <c r="J156" s="104"/>
      <c r="K156" s="104"/>
      <c r="L156" s="104"/>
      <c r="M156" s="104"/>
      <c r="N156" s="104"/>
    </row>
    <row r="157" spans="4:14">
      <c r="D157" s="103"/>
      <c r="E157" s="103"/>
      <c r="F157" s="108" t="s">
        <v>1039</v>
      </c>
      <c r="G157" s="104">
        <f>17500*H105</f>
        <v>52500</v>
      </c>
      <c r="H157" s="104"/>
      <c r="I157" s="104"/>
      <c r="J157" s="104"/>
      <c r="K157" s="104"/>
      <c r="L157" s="104"/>
      <c r="M157" s="104"/>
      <c r="N157" s="104"/>
    </row>
    <row r="158" spans="4:14">
      <c r="D158" s="103"/>
      <c r="E158" s="103"/>
      <c r="F158" s="108" t="s">
        <v>1045</v>
      </c>
      <c r="G158" s="104">
        <f>24*6*60*H107</f>
        <v>43200</v>
      </c>
      <c r="H158" s="104"/>
      <c r="I158" s="104"/>
      <c r="J158" s="104"/>
      <c r="K158" s="104"/>
      <c r="L158" s="104"/>
      <c r="M158" s="104"/>
      <c r="N158" s="104"/>
    </row>
    <row r="161" spans="2:14">
      <c r="B161" s="18"/>
      <c r="C161" s="17" t="s">
        <v>1088</v>
      </c>
    </row>
    <row r="163" spans="2:14">
      <c r="D163" s="17" t="s">
        <v>1089</v>
      </c>
    </row>
    <row r="164" spans="2:14">
      <c r="H164" s="17" t="s">
        <v>1090</v>
      </c>
    </row>
    <row r="165" spans="2:14">
      <c r="D165" s="109" t="s">
        <v>1091</v>
      </c>
      <c r="E165" s="109" t="s">
        <v>1092</v>
      </c>
      <c r="F165" s="110" t="s">
        <v>9</v>
      </c>
      <c r="G165" s="110"/>
      <c r="H165" s="110"/>
      <c r="I165" s="110"/>
      <c r="J165" s="110"/>
      <c r="K165" s="110"/>
      <c r="L165" s="110"/>
      <c r="M165" s="111" t="s">
        <v>1093</v>
      </c>
      <c r="N165" s="112"/>
    </row>
    <row r="166" ht="17.25" spans="2:14">
      <c r="D166" s="113"/>
      <c r="E166" s="113"/>
      <c r="F166" s="114" t="s">
        <v>738</v>
      </c>
      <c r="G166" s="115" t="s">
        <v>700</v>
      </c>
      <c r="H166" s="115" t="s">
        <v>1094</v>
      </c>
      <c r="I166" s="115" t="s">
        <v>1095</v>
      </c>
      <c r="J166" s="115" t="s">
        <v>897</v>
      </c>
      <c r="K166" s="115" t="s">
        <v>701</v>
      </c>
      <c r="L166" s="114" t="s">
        <v>702</v>
      </c>
      <c r="M166" s="116" t="s">
        <v>1096</v>
      </c>
      <c r="N166" s="116" t="s">
        <v>1097</v>
      </c>
    </row>
    <row r="167" spans="2:14">
      <c r="D167" s="117" t="s">
        <v>1098</v>
      </c>
      <c r="E167" s="118" t="s">
        <v>755</v>
      </c>
      <c r="F167" s="119" t="s">
        <v>1099</v>
      </c>
      <c r="G167" s="120" t="s">
        <v>1100</v>
      </c>
      <c r="H167" s="121" t="s">
        <v>1101</v>
      </c>
      <c r="I167" s="122">
        <v>1200000</v>
      </c>
      <c r="J167" s="123">
        <v>0.775</v>
      </c>
      <c r="K167" s="123" cm="1">
        <f t="array" ref="K167">($I167+$I$168)*VLOOKUP($E$167,$F$47:$H$136,3,0)/SUMPRODUCT($G$146:$G$158,--($F$146:$F$158=$E$167))</f>
        <v>0.4</v>
      </c>
      <c r="L167" s="121" t="s">
        <v>1102</v>
      </c>
      <c r="M167" s="124">
        <f t="shared" ref="M167:M175" si="1">I167*VLOOKUP($E$167,$F$47:$H$136,3,0)</f>
        <v>60000</v>
      </c>
      <c r="N167" s="125">
        <f>SUM(M167:M175)</f>
        <v>225000</v>
      </c>
    </row>
    <row r="168" spans="2:14">
      <c r="D168" s="126"/>
      <c r="E168" s="127"/>
      <c r="F168" s="128" t="s">
        <v>1103</v>
      </c>
      <c r="G168" s="129"/>
      <c r="H168" s="130" t="s">
        <v>1101</v>
      </c>
      <c r="I168" s="131">
        <v>600000</v>
      </c>
      <c r="J168" s="132"/>
      <c r="K168" s="132"/>
      <c r="L168" s="130" t="s">
        <v>1104</v>
      </c>
      <c r="M168" s="133">
        <f t="shared" si="1"/>
        <v>30000</v>
      </c>
      <c r="N168" s="134"/>
    </row>
    <row r="169" spans="2:14">
      <c r="D169" s="126"/>
      <c r="E169" s="127"/>
      <c r="F169" s="128" t="s">
        <v>1105</v>
      </c>
      <c r="G169" s="130"/>
      <c r="H169" s="130" t="s">
        <v>1101</v>
      </c>
      <c r="I169" s="133">
        <v>300000</v>
      </c>
      <c r="J169" s="132"/>
      <c r="K169" s="132" cm="1">
        <f t="array" ref="K169">$I169*VLOOKUP($E$167,$F$47:$H$136,3,0)/SUMPRODUCT($G$146:$G$158,--($F$146:$F$158=$E$167))</f>
        <v>0.0666666666666667</v>
      </c>
      <c r="L169" s="130" t="s">
        <v>1104</v>
      </c>
      <c r="M169" s="133">
        <f t="shared" si="1"/>
        <v>15000</v>
      </c>
      <c r="N169" s="134"/>
    </row>
    <row r="170" spans="2:14">
      <c r="D170" s="126"/>
      <c r="E170" s="127"/>
      <c r="F170" s="128" t="s">
        <v>1106</v>
      </c>
      <c r="G170" s="130"/>
      <c r="H170" s="130" t="s">
        <v>1101</v>
      </c>
      <c r="I170" s="130">
        <v>240000</v>
      </c>
      <c r="J170" s="132"/>
      <c r="K170" s="132" cm="1">
        <f t="array" ref="K170">$I170*VLOOKUP($E$167,$F$47:$H$136,3,0)/SUMPRODUCT($G$146:$G$158,--($F$146:$F$158=$E$167))</f>
        <v>0.0533333333333333</v>
      </c>
      <c r="L170" s="130" t="s">
        <v>1104</v>
      </c>
      <c r="M170" s="133">
        <f t="shared" si="1"/>
        <v>12000</v>
      </c>
      <c r="N170" s="134"/>
    </row>
    <row r="171" spans="2:14">
      <c r="D171" s="126"/>
      <c r="E171" s="127"/>
      <c r="F171" s="128" t="s">
        <v>1107</v>
      </c>
      <c r="G171" s="130"/>
      <c r="H171" s="130" t="s">
        <v>1101</v>
      </c>
      <c r="I171" s="130">
        <v>200000</v>
      </c>
      <c r="J171" s="132"/>
      <c r="K171" s="132" cm="1">
        <f t="array" ref="K171">$I171*VLOOKUP($E$167,$F$47:$H$136,3,0)/SUMPRODUCT($G$146:$G$158,--($F$146:$F$158=$E$167))</f>
        <v>0.0444444444444444</v>
      </c>
      <c r="L171" s="130" t="s">
        <v>1108</v>
      </c>
      <c r="M171" s="133">
        <f t="shared" si="1"/>
        <v>10000</v>
      </c>
      <c r="N171" s="135"/>
    </row>
    <row r="172" spans="2:14">
      <c r="D172" s="126"/>
      <c r="E172" s="127"/>
      <c r="F172" s="128" t="s">
        <v>1109</v>
      </c>
      <c r="G172" s="130"/>
      <c r="H172" s="130" t="s">
        <v>1101</v>
      </c>
      <c r="I172" s="130">
        <v>260000</v>
      </c>
      <c r="J172" s="132"/>
      <c r="K172" s="132" cm="1">
        <f t="array" ref="K172">$I172*VLOOKUP($E$167,$F$47:$H$136,3,0)/SUMPRODUCT($G$146:$G$158,--($F$146:$F$158=$E$167))</f>
        <v>0.0577777777777778</v>
      </c>
      <c r="L172" s="130" t="s">
        <v>1102</v>
      </c>
      <c r="M172" s="133">
        <f t="shared" si="1"/>
        <v>13000</v>
      </c>
      <c r="N172" s="134"/>
    </row>
    <row r="173" spans="2:14">
      <c r="D173" s="126"/>
      <c r="E173" s="127"/>
      <c r="F173" s="128" t="s">
        <v>1110</v>
      </c>
      <c r="G173" s="130"/>
      <c r="H173" s="130" t="s">
        <v>1101</v>
      </c>
      <c r="I173" s="130">
        <f>150*55*60+5000</f>
        <v>500000</v>
      </c>
      <c r="J173" s="132"/>
      <c r="K173" s="132" cm="1">
        <f t="array" ref="K173">$I173*VLOOKUP($E$167,$F$47:$H$136,3,0)/SUMPRODUCT($G$146:$G$158,--($F$146:$F$158=$E$167))</f>
        <v>0.111111111111111</v>
      </c>
      <c r="L173" s="130" t="s">
        <v>1104</v>
      </c>
      <c r="M173" s="133">
        <f t="shared" si="1"/>
        <v>25000</v>
      </c>
      <c r="N173" s="134"/>
    </row>
    <row r="174" spans="2:14">
      <c r="D174" s="126"/>
      <c r="E174" s="127"/>
      <c r="F174" s="128" t="s">
        <v>1111</v>
      </c>
      <c r="G174" s="130"/>
      <c r="H174" s="130" t="s">
        <v>1101</v>
      </c>
      <c r="I174" s="130">
        <v>200000</v>
      </c>
      <c r="J174" s="132"/>
      <c r="K174" s="132" cm="1">
        <f t="array" ref="K174">$I174*VLOOKUP($E$167,$F$47:$H$136,3,0)/SUMPRODUCT($G$146:$G$158,--($F$146:$F$158=$E$167))</f>
        <v>0.0444444444444444</v>
      </c>
      <c r="L174" s="130"/>
      <c r="M174" s="133">
        <f t="shared" si="1"/>
        <v>10000</v>
      </c>
      <c r="N174" s="134"/>
    </row>
    <row r="175" spans="2:14">
      <c r="D175" s="126"/>
      <c r="E175" s="127"/>
      <c r="F175" s="136" t="s">
        <v>377</v>
      </c>
      <c r="G175" s="130"/>
      <c r="H175" s="130" t="s">
        <v>1101</v>
      </c>
      <c r="I175" s="130">
        <v>1000000</v>
      </c>
      <c r="J175" s="132"/>
      <c r="K175" s="132" cm="1">
        <f t="array" ref="K175">$I175*VLOOKUP($E$167,$F$47:$H$136,3,0)/SUMPRODUCT($G$146:$G$158,--($F$146:$F$158=$E$167))</f>
        <v>0.222222222222222</v>
      </c>
      <c r="L175" s="133"/>
      <c r="M175" s="133">
        <f t="shared" si="1"/>
        <v>50000</v>
      </c>
      <c r="N175" s="134"/>
    </row>
    <row r="176" ht="17.25" spans="2:14">
      <c r="D176" s="126"/>
      <c r="E176" s="137"/>
      <c r="F176" s="138" t="s">
        <v>1112</v>
      </c>
      <c r="G176" s="139"/>
      <c r="H176" s="139" t="s">
        <v>1101</v>
      </c>
      <c r="I176" s="139">
        <f>SUM(I167:I175)</f>
        <v>4500000</v>
      </c>
      <c r="J176" s="140" cm="1">
        <f t="array" ref="J176">SUMPRODUCT(I167:I175,J167:J175)/I176</f>
        <v>0.206666666666667</v>
      </c>
      <c r="K176" s="132" cm="1">
        <f t="array" ref="K176">$I176*VLOOKUP($E$167,$F$47:$H$136,3,0)/SUMPRODUCT($G$146:$G$158,--($F$146:$F$158=$E$167))-1</f>
        <v>0</v>
      </c>
      <c r="L176" s="141"/>
      <c r="M176" s="141"/>
      <c r="N176" s="142"/>
    </row>
    <row r="177" spans="4:14">
      <c r="D177" s="126"/>
      <c r="E177" s="118" t="s">
        <v>998</v>
      </c>
      <c r="F177" s="119" t="s">
        <v>1099</v>
      </c>
      <c r="G177" s="121" t="s">
        <v>1100</v>
      </c>
      <c r="H177" s="121" t="s">
        <v>1101</v>
      </c>
      <c r="I177" s="122">
        <v>42000</v>
      </c>
      <c r="J177" s="123">
        <v>0.775</v>
      </c>
      <c r="K177" s="123" cm="1">
        <f t="array" ref="K177">$I177*VLOOKUP($E$177,$F$47:$H$136,3,0)/SUMPRODUCT($G$146:$G$158,--($F$146:$F$158=$E$177))</f>
        <v>0.56</v>
      </c>
      <c r="L177" s="121" t="s">
        <v>1102</v>
      </c>
      <c r="M177" s="124">
        <f>I177*VLOOKUP($E$177,$F$47:$H$136,3,0)</f>
        <v>126000</v>
      </c>
      <c r="N177" s="125">
        <f>SUM(M177:M183)</f>
        <v>225000</v>
      </c>
    </row>
    <row r="178" spans="4:14">
      <c r="D178" s="126"/>
      <c r="E178" s="127"/>
      <c r="F178" s="128" t="s">
        <v>1105</v>
      </c>
      <c r="G178" s="130"/>
      <c r="H178" s="130" t="s">
        <v>1101</v>
      </c>
      <c r="I178" s="133">
        <v>4200</v>
      </c>
      <c r="J178" s="143"/>
      <c r="K178" s="143" cm="1">
        <f t="array" ref="K178">$I178*VLOOKUP($E$177,$F$47:$H$136,3,0)/SUMPRODUCT($G$146:$G$158,--($F$146:$F$158=$E$177))</f>
        <v>0.056</v>
      </c>
      <c r="L178" s="130" t="s">
        <v>1104</v>
      </c>
      <c r="M178" s="133">
        <f>I178*VLOOKUP($E$177,$F$47:$H$136,3,0)</f>
        <v>12600</v>
      </c>
      <c r="N178" s="134"/>
    </row>
    <row r="179" spans="4:14">
      <c r="D179" s="126"/>
      <c r="E179" s="127"/>
      <c r="F179" s="128" t="s">
        <v>1106</v>
      </c>
      <c r="G179" s="130"/>
      <c r="H179" s="130" t="s">
        <v>1101</v>
      </c>
      <c r="I179" s="130">
        <v>4800</v>
      </c>
      <c r="J179" s="143"/>
      <c r="K179" s="143" cm="1">
        <f t="array" ref="K179">$I179*VLOOKUP($E$177,$F$47:$H$136,3,0)/SUMPRODUCT($G$146:$G$158,--($F$146:$F$158=$E$177))</f>
        <v>0.064</v>
      </c>
      <c r="L179" s="130" t="s">
        <v>1104</v>
      </c>
      <c r="M179" s="133">
        <f>I179*VLOOKUP($E$177,$F$47:$H$136,3,0)</f>
        <v>14400</v>
      </c>
      <c r="N179" s="134"/>
    </row>
    <row r="180" spans="4:14">
      <c r="D180" s="126"/>
      <c r="E180" s="127"/>
      <c r="F180" s="128" t="s">
        <v>1113</v>
      </c>
      <c r="G180" s="130"/>
      <c r="H180" s="130" t="s">
        <v>1101</v>
      </c>
      <c r="I180" s="130">
        <v>9000</v>
      </c>
      <c r="J180" s="143"/>
      <c r="K180" s="143" cm="1">
        <f t="array" ref="K180">$I180*VLOOKUP($E$177,$F$47:$H$136,3,0)/SUMPRODUCT($G$146:$G$158,--($F$146:$F$158=$E$177))</f>
        <v>0.12</v>
      </c>
      <c r="L180" s="130" t="s">
        <v>1104</v>
      </c>
      <c r="M180" s="133">
        <f>I180*VLOOKUP($E$177,$F$47:$H$136,3,0)</f>
        <v>27000</v>
      </c>
      <c r="N180" s="134"/>
    </row>
    <row r="181" spans="4:14">
      <c r="D181" s="126"/>
      <c r="E181" s="127"/>
      <c r="F181" s="128" t="s">
        <v>1110</v>
      </c>
      <c r="G181" s="130"/>
      <c r="H181" s="130" t="s">
        <v>1101</v>
      </c>
      <c r="I181" s="130">
        <v>15000</v>
      </c>
      <c r="J181" s="143"/>
      <c r="K181" s="143" cm="1">
        <f t="array" ref="K181">$I181*VLOOKUP($E$177,$F$47:$H$136,3,0)/SUMPRODUCT($G$146:$G$158,--($F$146:$F$158=$E$177))</f>
        <v>0.2</v>
      </c>
      <c r="L181" s="130" t="s">
        <v>1104</v>
      </c>
      <c r="M181" s="133">
        <f>I181*VLOOKUP($E$177,$F$47:$H$136,3,0)</f>
        <v>45000</v>
      </c>
      <c r="N181" s="134"/>
    </row>
    <row r="182" spans="4:14">
      <c r="D182" s="126"/>
      <c r="E182" s="127"/>
      <c r="F182" s="136" t="s">
        <v>377</v>
      </c>
      <c r="G182" s="130"/>
      <c r="H182" s="130" t="s">
        <v>1101</v>
      </c>
      <c r="I182" s="130"/>
      <c r="J182" s="143"/>
      <c r="K182" s="143"/>
      <c r="L182" s="133"/>
      <c r="M182" s="133"/>
      <c r="N182" s="134"/>
    </row>
    <row r="183" ht="17.25" spans="4:14">
      <c r="D183" s="126"/>
      <c r="E183" s="137"/>
      <c r="F183" s="138" t="s">
        <v>1112</v>
      </c>
      <c r="G183" s="139"/>
      <c r="H183" s="139" t="s">
        <v>1101</v>
      </c>
      <c r="I183" s="139">
        <f>SUM(I177:I182)</f>
        <v>75000</v>
      </c>
      <c r="J183" s="140" cm="1">
        <f t="array" ref="J183">SUMPRODUCT(J177:J182,I177:I182)/I183</f>
        <v>0.434</v>
      </c>
      <c r="K183" s="140" cm="1">
        <f t="array" ref="K183">$I183*VLOOKUP($E$177,$F$47:$H$136,3,0)/SUMPRODUCT($G$146:$G$158,--($F$146:$F$158=$E$177))-1</f>
        <v>0</v>
      </c>
      <c r="L183" s="141"/>
      <c r="M183" s="141"/>
      <c r="N183" s="142"/>
    </row>
    <row r="184" spans="4:14">
      <c r="D184" s="126"/>
      <c r="E184" s="144" t="s">
        <v>1039</v>
      </c>
      <c r="F184" s="119" t="s">
        <v>1099</v>
      </c>
      <c r="G184" s="121" t="s">
        <v>1100</v>
      </c>
      <c r="H184" s="121" t="s">
        <v>1101</v>
      </c>
      <c r="I184" s="122">
        <f>40*6*60+100</f>
        <v>14500</v>
      </c>
      <c r="J184" s="123">
        <v>0.775</v>
      </c>
      <c r="K184" s="123" cm="1">
        <f t="array" ref="K184">$I184*VLOOKUP($E$184,$F$47:$H$136,3,0)/SUMPRODUCT($G$146:$G$158,--($F$146:$F$158=$E$184))</f>
        <v>0.828571428571429</v>
      </c>
      <c r="L184" s="121" t="s">
        <v>1102</v>
      </c>
      <c r="M184" s="124">
        <f>I184*VLOOKUP($E$184,$F$47:$H$136,3,0)</f>
        <v>43500</v>
      </c>
      <c r="N184" s="125">
        <f>SUM(M184:M186)</f>
        <v>52500</v>
      </c>
    </row>
    <row r="185" spans="4:14">
      <c r="D185" s="126"/>
      <c r="E185" s="145"/>
      <c r="F185" s="128" t="s">
        <v>1105</v>
      </c>
      <c r="G185" s="130"/>
      <c r="H185" s="130" t="s">
        <v>1101</v>
      </c>
      <c r="I185" s="133">
        <v>3000</v>
      </c>
      <c r="J185" s="133"/>
      <c r="K185" s="132" cm="1">
        <f t="array" ref="K185">$I185*VLOOKUP($E$184,$F$47:$H$136,3,0)/SUMPRODUCT($G$146:$G$158,--($F$146:$F$158=$E$184))</f>
        <v>0.171428571428571</v>
      </c>
      <c r="L185" s="130" t="s">
        <v>1104</v>
      </c>
      <c r="M185" s="133">
        <f>I185*VLOOKUP($E$184,$F$47:$H$136,3,0)</f>
        <v>9000</v>
      </c>
      <c r="N185" s="134"/>
    </row>
    <row r="186" spans="4:14">
      <c r="D186" s="126"/>
      <c r="E186" s="145"/>
      <c r="F186" s="136" t="s">
        <v>377</v>
      </c>
      <c r="G186" s="130"/>
      <c r="H186" s="130" t="s">
        <v>1101</v>
      </c>
      <c r="I186" s="130">
        <v>0</v>
      </c>
      <c r="J186" s="130"/>
      <c r="K186" s="132" cm="1">
        <f t="array" ref="K186">$I186*VLOOKUP($E$177,$F$47:$H$136,3,0)/SUMPRODUCT($G$146:$G$158,--($F$146:$F$158=$E$177))</f>
        <v>0</v>
      </c>
      <c r="L186" s="130"/>
      <c r="M186" s="133"/>
      <c r="N186" s="134"/>
    </row>
    <row r="187" ht="17.25" spans="4:14">
      <c r="D187" s="146"/>
      <c r="E187" s="147"/>
      <c r="F187" s="138" t="s">
        <v>1112</v>
      </c>
      <c r="G187" s="139"/>
      <c r="H187" s="139" t="s">
        <v>1101</v>
      </c>
      <c r="I187" s="139">
        <f>SUM(I184:I185)</f>
        <v>17500</v>
      </c>
      <c r="J187" s="140" cm="1">
        <f t="array" ref="J187">SUMPRODUCT(J184:J186,I184:I186)/I187</f>
        <v>0.642142857142857</v>
      </c>
      <c r="K187" s="140" cm="1">
        <f t="array" ref="K187">$I187*VLOOKUP($E$184,$F$47:$H$136,3,0)/SUMPRODUCT($G$146:$G$158,--($F$146:$F$158=$E$184))-1</f>
        <v>0</v>
      </c>
      <c r="L187" s="141"/>
      <c r="M187" s="141"/>
      <c r="N187" s="142"/>
    </row>
    <row r="188" spans="4:14">
      <c r="D188" s="148" t="s">
        <v>1114</v>
      </c>
      <c r="E188" s="149" t="s">
        <v>1022</v>
      </c>
      <c r="F188" s="119" t="s">
        <v>1099</v>
      </c>
      <c r="G188" s="121" t="s">
        <v>1100</v>
      </c>
      <c r="H188" s="121" t="s">
        <v>1101</v>
      </c>
      <c r="I188" s="122">
        <f>40*1.2*60</f>
        <v>2880</v>
      </c>
      <c r="J188" s="123">
        <v>0.775</v>
      </c>
      <c r="K188" s="123" cm="1">
        <f t="array" ref="K188">$I188*VLOOKUP($E$188,$F$47:$H$136,3,0)/SUMPRODUCT($G$146:$G$158,--($F$146:$F$158=$E$188))</f>
        <v>0.768</v>
      </c>
      <c r="L188" s="121" t="s">
        <v>1102</v>
      </c>
      <c r="M188" s="133">
        <f t="shared" ref="M188:M194" si="2">I188*VLOOKUP($E$188,$F$47:$H$136,3,0)</f>
        <v>46080</v>
      </c>
      <c r="N188" s="150">
        <f>SUM(M188:M196)</f>
        <v>97718.8571428571</v>
      </c>
    </row>
    <row r="189" spans="4:14">
      <c r="D189" s="151"/>
      <c r="E189" s="149"/>
      <c r="F189" s="128" t="s">
        <v>1115</v>
      </c>
      <c r="G189" s="130"/>
      <c r="H189" s="130" t="s">
        <v>1101</v>
      </c>
      <c r="I189" s="133">
        <f>10*2.2*60</f>
        <v>1320</v>
      </c>
      <c r="J189" s="143"/>
      <c r="K189" s="143" cm="1">
        <f t="array" ref="K189">$I189*VLOOKUP($E$188,$F$47:$H$136,3,0)/SUMPRODUCT($G$146:$G$158,--($F$146:$F$158=$E$188))</f>
        <v>0.352</v>
      </c>
      <c r="L189" s="130" t="s">
        <v>1104</v>
      </c>
      <c r="M189" s="152">
        <f t="shared" si="2"/>
        <v>21120</v>
      </c>
      <c r="N189" s="134"/>
    </row>
    <row r="190" spans="4:14">
      <c r="D190" s="151"/>
      <c r="E190" s="149"/>
      <c r="F190" s="128" t="s">
        <v>1116</v>
      </c>
      <c r="G190" s="130"/>
      <c r="H190" s="130" t="s">
        <v>1101</v>
      </c>
      <c r="I190" s="153">
        <f>(2*2.2+1/7*20)*60</f>
        <v>435.428571428571</v>
      </c>
      <c r="J190" s="143"/>
      <c r="K190" s="143" cm="1">
        <f t="array" ref="K190">$I190*VLOOKUP($E$188,$F$47:$H$136,3,0)/SUMPRODUCT($G$146:$G$158,--($F$146:$F$158=$E$188))</f>
        <v>0.116114285714286</v>
      </c>
      <c r="L190" s="130" t="s">
        <v>1104</v>
      </c>
      <c r="M190" s="152">
        <f t="shared" si="2"/>
        <v>6966.85714285714</v>
      </c>
      <c r="N190" s="134"/>
    </row>
    <row r="191" spans="4:14">
      <c r="D191" s="151"/>
      <c r="E191" s="149"/>
      <c r="F191" s="128" t="s">
        <v>1117</v>
      </c>
      <c r="G191" s="130"/>
      <c r="H191" s="130" t="s">
        <v>1101</v>
      </c>
      <c r="I191" s="130">
        <f>(3*2.2+1*20)*60/7</f>
        <v>228</v>
      </c>
      <c r="J191" s="143">
        <f>5/7*20*60/I191</f>
        <v>3.7593984962406</v>
      </c>
      <c r="K191" s="143" cm="1">
        <f t="array" ref="K191">$I191*VLOOKUP($E$188,$F$47:$H$136,3,0)/SUMPRODUCT($G$146:$G$158,--($F$146:$F$158=$E$188))</f>
        <v>0.0608</v>
      </c>
      <c r="L191" s="154" t="s">
        <v>1102</v>
      </c>
      <c r="M191" s="152">
        <f t="shared" si="2"/>
        <v>3648</v>
      </c>
      <c r="N191" s="155"/>
    </row>
    <row r="192" spans="4:14">
      <c r="D192" s="151"/>
      <c r="E192" s="149"/>
      <c r="F192" s="128" t="s">
        <v>1118</v>
      </c>
      <c r="G192" s="130"/>
      <c r="H192" s="130" t="s">
        <v>1101</v>
      </c>
      <c r="I192" s="130">
        <f>20*60+5/15*2.2*60</f>
        <v>1244</v>
      </c>
      <c r="J192" s="156"/>
      <c r="K192" s="143" cm="1">
        <f t="array" ref="K192">$I192*VLOOKUP($E$188,$F$47:$H$136,3,0)/SUMPRODUCT($G$146:$G$158,--($F$146:$F$158=$E$188))</f>
        <v>0.331733333333333</v>
      </c>
      <c r="L192" s="130" t="s">
        <v>1104</v>
      </c>
      <c r="M192" s="152">
        <f t="shared" si="2"/>
        <v>19904</v>
      </c>
      <c r="N192" s="155"/>
    </row>
    <row r="193" spans="4:14">
      <c r="D193" s="151"/>
      <c r="E193" s="149"/>
      <c r="F193" s="128" t="s">
        <v>1107</v>
      </c>
      <c r="G193" s="130"/>
      <c r="H193" s="130" t="s">
        <v>1101</v>
      </c>
      <c r="I193" s="130"/>
      <c r="J193" s="156">
        <f>60/15*20*60</f>
        <v>4800</v>
      </c>
      <c r="K193" s="143"/>
      <c r="L193" s="130" t="s">
        <v>1108</v>
      </c>
      <c r="M193" s="152">
        <f t="shared" si="2"/>
        <v>0</v>
      </c>
      <c r="N193" s="155"/>
    </row>
    <row r="194" spans="4:14">
      <c r="D194" s="151"/>
      <c r="E194" s="149"/>
      <c r="F194" s="128" t="s">
        <v>1119</v>
      </c>
      <c r="G194" s="130"/>
      <c r="H194" s="130" t="s">
        <v>1101</v>
      </c>
      <c r="I194" s="130"/>
      <c r="J194" s="157">
        <f>(150/7+150/30)*20*60+2*20*60</f>
        <v>34114.2857142857</v>
      </c>
      <c r="K194" s="143"/>
      <c r="L194" s="130" t="s">
        <v>1108</v>
      </c>
      <c r="M194" s="152">
        <f t="shared" si="2"/>
        <v>0</v>
      </c>
      <c r="N194" s="155"/>
    </row>
    <row r="195" spans="4:14">
      <c r="D195" s="151"/>
      <c r="E195" s="149"/>
      <c r="F195" s="136" t="s">
        <v>377</v>
      </c>
      <c r="G195" s="130"/>
      <c r="H195" s="130" t="s">
        <v>1101</v>
      </c>
      <c r="I195" s="130"/>
      <c r="J195" s="133"/>
      <c r="K195" s="143"/>
      <c r="L195" s="154"/>
      <c r="M195" s="158"/>
      <c r="N195" s="155"/>
    </row>
    <row r="196" ht="17.25" spans="4:14">
      <c r="D196" s="151"/>
      <c r="E196" s="149"/>
      <c r="F196" s="138" t="s">
        <v>1112</v>
      </c>
      <c r="G196" s="130"/>
      <c r="H196" s="130" t="s">
        <v>1101</v>
      </c>
      <c r="I196" s="153">
        <f>SUM(I188:I195)</f>
        <v>6107.42857142857</v>
      </c>
      <c r="J196" s="159" cm="1">
        <f t="array" ref="J196">(SUMPRODUCT(I188:I192,J188:J192)+J194+J193)/I196</f>
        <v>6.87743263473054</v>
      </c>
      <c r="K196" s="143">
        <f>SUM(K188:K195)-1</f>
        <v>0.628647619047619</v>
      </c>
      <c r="L196" s="141"/>
      <c r="M196" s="141"/>
      <c r="N196" s="142"/>
    </row>
    <row r="197" spans="4:14">
      <c r="D197" s="151"/>
      <c r="E197" s="160" t="s">
        <v>1019</v>
      </c>
      <c r="F197" s="119" t="s">
        <v>1099</v>
      </c>
      <c r="G197" s="121" t="s">
        <v>1100</v>
      </c>
      <c r="H197" s="121" t="s">
        <v>1101</v>
      </c>
      <c r="I197" s="122">
        <f>80/200*60</f>
        <v>24</v>
      </c>
      <c r="J197" s="123">
        <v>0.775</v>
      </c>
      <c r="K197" s="123" cm="1">
        <f t="array" ref="K197">$I197*VLOOKUP($E$197,$F$47:$H$136,3,0)/SUMPRODUCT($G$146:$G$158,--($F$146:$F$158=$E$197))</f>
        <v>0.24</v>
      </c>
      <c r="L197" s="121" t="s">
        <v>1102</v>
      </c>
      <c r="M197" s="133">
        <f>I197*VLOOKUP($E$184,$F$47:$H$136,3,0)</f>
        <v>72</v>
      </c>
      <c r="N197" s="150">
        <f>SUM(M197:M198)</f>
        <v>304.714285714286</v>
      </c>
    </row>
    <row r="198" spans="4:14">
      <c r="D198" s="151"/>
      <c r="E198" s="161"/>
      <c r="F198" s="128" t="s">
        <v>1116</v>
      </c>
      <c r="G198" s="130"/>
      <c r="H198" s="130" t="s">
        <v>1101</v>
      </c>
      <c r="I198" s="162">
        <f>(30/200+8/7)*60</f>
        <v>77.5714285714286</v>
      </c>
      <c r="J198" s="143"/>
      <c r="K198" s="132" cm="1">
        <f t="array" ref="K198">$I198*VLOOKUP($E$197,$F$47:$H$136,3,0)/SUMPRODUCT($G$146:$G$158,--($F$146:$F$158=$E$197))</f>
        <v>0.775714285714286</v>
      </c>
      <c r="L198" s="130" t="s">
        <v>1104</v>
      </c>
      <c r="M198" s="152">
        <f>I198*VLOOKUP($E$184,$F$47:$H$136,3,0)</f>
        <v>232.714285714286</v>
      </c>
      <c r="N198" s="134"/>
    </row>
    <row r="199" spans="4:14">
      <c r="D199" s="151"/>
      <c r="E199" s="161"/>
      <c r="F199" s="136" t="s">
        <v>377</v>
      </c>
      <c r="G199" s="130"/>
      <c r="H199" s="130" t="s">
        <v>1101</v>
      </c>
      <c r="I199" s="130"/>
      <c r="J199" s="153"/>
      <c r="K199" s="132"/>
      <c r="L199" s="130"/>
      <c r="M199" s="133"/>
      <c r="N199" s="134"/>
    </row>
    <row r="200" spans="4:14">
      <c r="D200" s="151"/>
      <c r="E200" s="163"/>
      <c r="F200" s="136" t="s">
        <v>1119</v>
      </c>
      <c r="G200" s="130"/>
      <c r="H200" s="130" t="s">
        <v>1101</v>
      </c>
      <c r="I200" s="130"/>
      <c r="J200" s="153">
        <f>((100+300/7)/200+12+60/7+280/30+1000/30)*60</f>
        <v>3837.14285714286</v>
      </c>
      <c r="K200" s="132"/>
      <c r="L200" s="130" t="s">
        <v>1108</v>
      </c>
      <c r="M200" s="133">
        <f>I200*VLOOKUP($E$184,$F$47:$H$136,3,0)</f>
        <v>0</v>
      </c>
      <c r="N200" s="155"/>
    </row>
    <row r="201" ht="17.25" spans="4:14">
      <c r="D201" s="164"/>
      <c r="E201" s="165"/>
      <c r="F201" s="138" t="s">
        <v>1112</v>
      </c>
      <c r="G201" s="139"/>
      <c r="H201" s="139" t="s">
        <v>1101</v>
      </c>
      <c r="I201" s="166">
        <f>SUM(I197:I199)</f>
        <v>101.571428571429</v>
      </c>
      <c r="J201" s="140" cm="1">
        <f t="array" ref="J201">(SUMPRODUCT(I197:I199,J197:J199)+J200)/I201</f>
        <v>37.9609001406468</v>
      </c>
      <c r="K201" s="140" cm="1">
        <f t="array" ref="K201">$I201*VLOOKUP($E$197,$F$47:$H$136,3,0)/SUMPRODUCT($G$146:$G$158,--($F$146:$F$158=$E$197))-1</f>
        <v>0.01571428571429</v>
      </c>
      <c r="L201" s="141"/>
      <c r="M201" s="141"/>
      <c r="N201" s="142"/>
    </row>
    <row r="202" spans="4:14">
      <c r="D202" s="148" t="s">
        <v>1120</v>
      </c>
      <c r="E202" s="167" t="s">
        <v>971</v>
      </c>
      <c r="F202" s="168" t="s">
        <v>1099</v>
      </c>
      <c r="G202" s="129" t="s">
        <v>1100</v>
      </c>
      <c r="H202" s="129" t="s">
        <v>1101</v>
      </c>
      <c r="I202" s="169">
        <f>40*40*60</f>
        <v>96000</v>
      </c>
      <c r="J202" s="170">
        <f>J184</f>
        <v>0.775</v>
      </c>
      <c r="K202" s="170" cm="1">
        <f t="array" ref="K202">$I202*VLOOKUP($E$202,$F$47:$H$136,3,0)/SUMPRODUCT($G$146:$G$158,--($F$146:$F$158=$E$202))</f>
        <v>0.457142857142857</v>
      </c>
      <c r="L202" s="129" t="s">
        <v>1102</v>
      </c>
      <c r="M202" s="133">
        <f>I202*VLOOKUP($E$202,$F$47:$H$136,3,0)</f>
        <v>96000</v>
      </c>
      <c r="N202" s="171">
        <f>SUM(M202:M205)</f>
        <v>206400</v>
      </c>
    </row>
    <row r="203" spans="4:14">
      <c r="D203" s="151"/>
      <c r="E203" s="127"/>
      <c r="F203" s="128" t="s">
        <v>1121</v>
      </c>
      <c r="G203" s="130"/>
      <c r="H203" s="130" t="s">
        <v>1101</v>
      </c>
      <c r="I203" s="133">
        <f>60*24*10</f>
        <v>14400</v>
      </c>
      <c r="J203" s="172">
        <f>30%</f>
        <v>0.3</v>
      </c>
      <c r="K203" s="132" cm="1">
        <f t="array" ref="K203">$I203*VLOOKUP($E$202,$F$47:$H$136,3,0)/SUMPRODUCT($G$146:$G$158,--($F$146:$F$158=$E$202))</f>
        <v>0.0685714285714286</v>
      </c>
      <c r="L203" s="130" t="s">
        <v>1104</v>
      </c>
      <c r="M203" s="152">
        <f>I203*VLOOKUP($E$202,$F$47:$H$136,3,0)</f>
        <v>14400</v>
      </c>
      <c r="N203" s="134"/>
    </row>
    <row r="204" spans="4:14">
      <c r="D204" s="151"/>
      <c r="E204" s="127"/>
      <c r="F204" s="128" t="s">
        <v>1122</v>
      </c>
      <c r="G204" s="130"/>
      <c r="H204" s="130" t="s">
        <v>1101</v>
      </c>
      <c r="I204" s="130">
        <f>100*11*60</f>
        <v>66000</v>
      </c>
      <c r="J204" s="132">
        <f>175/100</f>
        <v>1.75</v>
      </c>
      <c r="K204" s="132" cm="1">
        <f t="array" ref="K204">$I204*VLOOKUP($E$202,$F$47:$H$136,3,0)/SUMPRODUCT($G$146:$G$158,--($F$146:$F$158=$E$202))</f>
        <v>0.314285714285714</v>
      </c>
      <c r="L204" s="130"/>
      <c r="M204" s="152">
        <f>I204*VLOOKUP($E$202,$F$47:$H$136,3,0)</f>
        <v>66000</v>
      </c>
      <c r="N204" s="134"/>
    </row>
    <row r="205" spans="4:14">
      <c r="D205" s="151"/>
      <c r="E205" s="127"/>
      <c r="F205" s="128" t="s">
        <v>1110</v>
      </c>
      <c r="G205" s="130"/>
      <c r="H205" s="130" t="s">
        <v>1101</v>
      </c>
      <c r="I205" s="130">
        <f>500*60</f>
        <v>30000</v>
      </c>
      <c r="J205" s="132">
        <f>400%</f>
        <v>4</v>
      </c>
      <c r="K205" s="132" cm="1">
        <f t="array" ref="K205">$I205*VLOOKUP($E$202,$F$47:$H$136,3,0)/SUMPRODUCT($G$146:$G$158,--($F$146:$F$158=$E$202))</f>
        <v>0.142857142857143</v>
      </c>
      <c r="L205" s="130"/>
      <c r="M205" s="152">
        <f>I205*VLOOKUP($E$202,$F$47:$H$136,3,0)</f>
        <v>30000</v>
      </c>
      <c r="N205" s="134"/>
    </row>
    <row r="206" spans="4:14">
      <c r="D206" s="151"/>
      <c r="E206" s="127"/>
      <c r="F206" s="136" t="s">
        <v>377</v>
      </c>
      <c r="G206" s="130"/>
      <c r="H206" s="130" t="s">
        <v>1101</v>
      </c>
      <c r="I206" s="130"/>
      <c r="J206" s="130"/>
      <c r="K206" s="132"/>
      <c r="L206" s="130"/>
      <c r="M206" s="152"/>
      <c r="N206" s="134"/>
    </row>
    <row r="207" ht="17.25" spans="4:14">
      <c r="D207" s="151"/>
      <c r="E207" s="137"/>
      <c r="F207" s="138" t="s">
        <v>1112</v>
      </c>
      <c r="G207" s="139"/>
      <c r="H207" s="139" t="s">
        <v>1101</v>
      </c>
      <c r="I207" s="139">
        <f>SUM(I202:I206)</f>
        <v>206400</v>
      </c>
      <c r="J207" s="140" cm="1">
        <f t="array" ref="J207">SUMPRODUCT(J202:J206,I202:I206)/I207</f>
        <v>1.52238372093023</v>
      </c>
      <c r="K207" s="140" cm="1">
        <f t="array" ref="K207">$I207*VLOOKUP($E$202,$F$47:$H$136,3,0)/SUMPRODUCT($G$146:$G$158,--($F$146:$F$158=$E$202))-1</f>
        <v>-0.0171428571428571</v>
      </c>
      <c r="L207" s="141"/>
      <c r="M207" s="141"/>
      <c r="N207" s="142"/>
    </row>
    <row r="208" spans="4:14">
      <c r="D208" s="151"/>
      <c r="E208" s="118" t="s">
        <v>975</v>
      </c>
      <c r="F208" s="119" t="s">
        <v>1099</v>
      </c>
      <c r="G208" s="121" t="s">
        <v>1100</v>
      </c>
      <c r="H208" s="121" t="s">
        <v>1101</v>
      </c>
      <c r="I208" s="122">
        <f>0.5*40*60</f>
        <v>1200</v>
      </c>
      <c r="J208" s="123">
        <f>J202</f>
        <v>0.775</v>
      </c>
      <c r="K208" s="132" cm="1">
        <f t="array" ref="K208">$I208*VLOOKUP($E$208,$F$47:$H$136,3,0)*2/SUMPRODUCT($G$146:$G$158,--($F$146:$F$158=$E$208))</f>
        <v>0.2</v>
      </c>
      <c r="L208" s="121"/>
      <c r="M208" s="133">
        <f t="shared" ref="M208:M214" si="3">I208*VLOOKUP($E$208,$F$47:$H$136,3,0)</f>
        <v>36000</v>
      </c>
      <c r="N208" s="150">
        <f>SUM(M208:M218)</f>
        <v>186171.428571429</v>
      </c>
    </row>
    <row r="209" spans="2:20">
      <c r="D209" s="151"/>
      <c r="E209" s="127"/>
      <c r="F209" s="128" t="s">
        <v>1123</v>
      </c>
      <c r="G209" s="130"/>
      <c r="H209" s="130" t="s">
        <v>1101</v>
      </c>
      <c r="I209" s="133">
        <f>30*60</f>
        <v>1800</v>
      </c>
      <c r="J209" s="172"/>
      <c r="K209" s="132" cm="1">
        <f t="array" ref="K209">$I209*VLOOKUP($E$208,$F$47:$H$136,3,0)*2/SUMPRODUCT($G$146:$G$158,--($F$146:$F$158=$E$208))</f>
        <v>0.3</v>
      </c>
      <c r="L209" s="130"/>
      <c r="M209" s="152">
        <f t="shared" si="3"/>
        <v>54000</v>
      </c>
      <c r="N209" s="134"/>
    </row>
    <row r="210" spans="2:20">
      <c r="D210" s="151"/>
      <c r="E210" s="127"/>
      <c r="F210" s="128" t="s">
        <v>1124</v>
      </c>
      <c r="G210" s="130"/>
      <c r="H210" s="130" t="s">
        <v>1101</v>
      </c>
      <c r="I210" s="130">
        <f>2*60+10*60</f>
        <v>720</v>
      </c>
      <c r="J210" s="132"/>
      <c r="K210" s="132" cm="1">
        <f t="array" ref="K210">$I210*VLOOKUP($E$208,$F$47:$H$136,3,0)*2/SUMPRODUCT($G$146:$G$158,--($F$146:$F$158=$E$208))</f>
        <v>0.12</v>
      </c>
      <c r="L210" s="130"/>
      <c r="M210" s="152">
        <f t="shared" si="3"/>
        <v>21600</v>
      </c>
      <c r="N210" s="134"/>
    </row>
    <row r="211" spans="2:20">
      <c r="D211" s="151"/>
      <c r="E211" s="127"/>
      <c r="F211" s="128" t="s">
        <v>1125</v>
      </c>
      <c r="G211" s="130"/>
      <c r="H211" s="130" t="s">
        <v>1101</v>
      </c>
      <c r="I211" s="130">
        <f>10*60</f>
        <v>600</v>
      </c>
      <c r="J211" s="132"/>
      <c r="K211" s="132" cm="1">
        <f t="array" ref="K211">$I211*VLOOKUP($E$208,$F$47:$H$136,3,0)*2/SUMPRODUCT($G$146:$G$158,--($F$146:$F$158=$E$208))</f>
        <v>0.1</v>
      </c>
      <c r="L211" s="130"/>
      <c r="M211" s="152">
        <f t="shared" si="3"/>
        <v>18000</v>
      </c>
      <c r="N211" s="134"/>
    </row>
    <row r="212" spans="2:20">
      <c r="D212" s="151"/>
      <c r="E212" s="127"/>
      <c r="F212" s="128" t="s">
        <v>1116</v>
      </c>
      <c r="G212" s="130"/>
      <c r="H212" s="130" t="s">
        <v>1101</v>
      </c>
      <c r="I212" s="153">
        <f>5*60+10/7*60</f>
        <v>385.714285714286</v>
      </c>
      <c r="J212" s="132"/>
      <c r="K212" s="132" cm="1">
        <f t="array" ref="K212">$I212*VLOOKUP($E$208,$F$47:$H$136,3,0)*2/SUMPRODUCT($G$146:$G$158,--($F$146:$F$158=$E$208))</f>
        <v>0.0642857142857143</v>
      </c>
      <c r="L212" s="130"/>
      <c r="M212" s="152">
        <f t="shared" si="3"/>
        <v>11571.4285714286</v>
      </c>
      <c r="N212" s="134"/>
    </row>
    <row r="213" spans="2:20">
      <c r="D213" s="151"/>
      <c r="E213" s="127"/>
      <c r="F213" s="128" t="s">
        <v>1110</v>
      </c>
      <c r="G213" s="130"/>
      <c r="H213" s="130" t="s">
        <v>1101</v>
      </c>
      <c r="I213" s="130">
        <f>20*60</f>
        <v>1200</v>
      </c>
      <c r="J213" s="132"/>
      <c r="K213" s="132" cm="1">
        <f t="array" ref="K213">$I213*VLOOKUP($E$208,$F$47:$H$136,3,0)*2/SUMPRODUCT($G$146:$G$158,--($F$146:$F$158=$E$208))</f>
        <v>0.2</v>
      </c>
      <c r="L213" s="130"/>
      <c r="M213" s="152">
        <f t="shared" si="3"/>
        <v>36000</v>
      </c>
      <c r="N213" s="134"/>
    </row>
    <row r="214" spans="2:20">
      <c r="D214" s="151"/>
      <c r="E214" s="127"/>
      <c r="F214" s="136" t="s">
        <v>377</v>
      </c>
      <c r="G214" s="130"/>
      <c r="H214" s="130" t="s">
        <v>1101</v>
      </c>
      <c r="I214" s="130">
        <f>5*60</f>
        <v>300</v>
      </c>
      <c r="J214" s="132"/>
      <c r="K214" s="132" cm="1">
        <f t="array" ref="K214">$I214*VLOOKUP($E$208,$F$47:$H$136,3,0)*2/SUMPRODUCT($G$146:$G$158,--($F$146:$F$158=$E$208))</f>
        <v>0.05</v>
      </c>
      <c r="L214" s="130"/>
      <c r="M214" s="152">
        <f t="shared" si="3"/>
        <v>9000</v>
      </c>
      <c r="N214" s="134"/>
    </row>
    <row r="215" spans="2:20">
      <c r="D215" s="151"/>
      <c r="E215" s="127"/>
      <c r="F215" s="128" t="s">
        <v>1107</v>
      </c>
      <c r="G215" s="130"/>
      <c r="H215" s="130" t="s">
        <v>1101</v>
      </c>
      <c r="I215" s="130"/>
      <c r="J215" s="173">
        <f>250/30*60</f>
        <v>500</v>
      </c>
      <c r="K215" s="132"/>
      <c r="L215" s="130"/>
      <c r="M215" s="133"/>
      <c r="N215" s="134"/>
    </row>
    <row r="216" spans="2:20">
      <c r="D216" s="151"/>
      <c r="E216" s="127"/>
      <c r="F216" s="128" t="s">
        <v>1119</v>
      </c>
      <c r="G216" s="130"/>
      <c r="H216" s="130" t="s">
        <v>1101</v>
      </c>
      <c r="I216" s="130"/>
      <c r="J216" s="173">
        <f>(20*2+400/7+500/30+2+20+300/30+10/7)*60</f>
        <v>8834.28571428571</v>
      </c>
      <c r="K216" s="132"/>
      <c r="L216" s="130"/>
      <c r="M216" s="133"/>
      <c r="N216" s="134"/>
    </row>
    <row r="217" spans="2:20">
      <c r="D217" s="151"/>
      <c r="E217" s="127"/>
      <c r="F217" s="136" t="s">
        <v>1126</v>
      </c>
      <c r="G217" s="130"/>
      <c r="H217" s="130" t="s">
        <v>1101</v>
      </c>
      <c r="I217" s="130">
        <v>770</v>
      </c>
      <c r="J217" s="130"/>
      <c r="K217" s="132"/>
      <c r="L217" s="130"/>
      <c r="M217" s="133"/>
      <c r="N217" s="134"/>
    </row>
    <row r="218" ht="17.25" spans="2:20">
      <c r="D218" s="164"/>
      <c r="E218" s="137"/>
      <c r="F218" s="138" t="s">
        <v>1112</v>
      </c>
      <c r="G218" s="139"/>
      <c r="H218" s="139" t="s">
        <v>1101</v>
      </c>
      <c r="I218" s="174">
        <f>SUM(I208:I214)</f>
        <v>6205.71428571429</v>
      </c>
      <c r="J218" s="140" cm="1">
        <f t="array" ref="J218">(SUMPRODUCT(I208:I214,J208:J214)+SUM(J215:J217))/I218</f>
        <v>1.65400552486188</v>
      </c>
      <c r="K218" s="140">
        <f>SUM(K208:K217)-1</f>
        <v>0.0342857142857143</v>
      </c>
      <c r="L218" s="141"/>
      <c r="M218" s="141"/>
      <c r="N218" s="142"/>
    </row>
    <row r="221" spans="2:20">
      <c r="B221"/>
      <c r="C221"/>
      <c r="D221"/>
      <c r="E221"/>
      <c r="F221"/>
      <c r="G221"/>
      <c r="H221"/>
      <c r="I221"/>
      <c r="J221"/>
      <c r="K221"/>
      <c r="L221"/>
      <c r="M221"/>
      <c r="N221"/>
      <c r="O221"/>
      <c r="P221"/>
      <c r="Q221"/>
      <c r="R221"/>
      <c r="S221"/>
      <c r="T221"/>
    </row>
    <row r="222" spans="2:20">
      <c r="B222"/>
      <c r="C222"/>
      <c r="D222"/>
      <c r="E222"/>
      <c r="F222"/>
      <c r="G222"/>
      <c r="H222"/>
      <c r="I222"/>
      <c r="J222"/>
      <c r="K222"/>
      <c r="L222"/>
      <c r="M222"/>
      <c r="N222"/>
      <c r="O222"/>
      <c r="P222"/>
      <c r="Q222"/>
      <c r="R222"/>
      <c r="S222"/>
      <c r="T222"/>
    </row>
    <row r="223" spans="2:20">
      <c r="B223"/>
      <c r="C223"/>
      <c r="D223"/>
      <c r="E223"/>
      <c r="F223"/>
      <c r="G223"/>
      <c r="H223"/>
      <c r="I223"/>
      <c r="J223"/>
      <c r="K223"/>
      <c r="L223"/>
      <c r="M223"/>
      <c r="N223"/>
      <c r="O223"/>
      <c r="P223"/>
      <c r="Q223"/>
      <c r="R223"/>
      <c r="S223"/>
      <c r="T223"/>
    </row>
    <row r="224" spans="2:20">
      <c r="B224"/>
      <c r="C224"/>
      <c r="D224"/>
      <c r="E224"/>
      <c r="F224"/>
      <c r="G224"/>
      <c r="H224"/>
      <c r="I224"/>
      <c r="J224"/>
      <c r="K224"/>
      <c r="L224"/>
      <c r="M224"/>
      <c r="N224"/>
      <c r="O224"/>
      <c r="P224"/>
      <c r="Q224"/>
      <c r="R224"/>
      <c r="S224"/>
      <c r="T224"/>
    </row>
    <row r="225" spans="2:20">
      <c r="B225"/>
      <c r="C225"/>
      <c r="D225"/>
      <c r="E225"/>
      <c r="F225"/>
      <c r="G225"/>
      <c r="H225"/>
      <c r="I225"/>
      <c r="J225"/>
      <c r="K225"/>
      <c r="L225"/>
      <c r="M225"/>
      <c r="N225"/>
      <c r="O225"/>
      <c r="P225"/>
      <c r="Q225"/>
      <c r="R225"/>
      <c r="S225"/>
      <c r="T225"/>
    </row>
    <row r="226" spans="2:20">
      <c r="B226"/>
      <c r="C226"/>
      <c r="D226"/>
      <c r="E226"/>
      <c r="F226"/>
      <c r="G226"/>
      <c r="H226"/>
      <c r="I226"/>
      <c r="J226"/>
      <c r="K226"/>
      <c r="L226"/>
      <c r="M226"/>
      <c r="N226"/>
      <c r="O226"/>
      <c r="P226"/>
      <c r="Q226"/>
      <c r="R226"/>
      <c r="S226"/>
      <c r="T226"/>
    </row>
    <row r="227" spans="2:20">
      <c r="B227"/>
      <c r="C227"/>
      <c r="D227"/>
      <c r="E227"/>
      <c r="F227"/>
      <c r="G227"/>
      <c r="H227"/>
      <c r="I227"/>
      <c r="J227"/>
      <c r="K227"/>
      <c r="L227"/>
      <c r="M227"/>
      <c r="N227"/>
      <c r="O227"/>
      <c r="P227"/>
      <c r="Q227"/>
      <c r="R227"/>
      <c r="S227"/>
      <c r="T227"/>
    </row>
    <row r="228" spans="2:20">
      <c r="B228"/>
      <c r="C228"/>
      <c r="D228"/>
      <c r="E228"/>
      <c r="F228"/>
      <c r="G228"/>
      <c r="H228"/>
      <c r="I228"/>
      <c r="J228"/>
      <c r="K228"/>
      <c r="L228"/>
      <c r="M228"/>
      <c r="N228"/>
      <c r="O228"/>
      <c r="P228"/>
      <c r="Q228"/>
      <c r="R228"/>
      <c r="S228"/>
      <c r="T228"/>
    </row>
    <row r="229" spans="2:20">
      <c r="B229"/>
      <c r="C229"/>
      <c r="D229"/>
      <c r="E229"/>
      <c r="F229"/>
      <c r="G229"/>
      <c r="H229"/>
      <c r="I229"/>
      <c r="J229"/>
      <c r="K229"/>
      <c r="L229"/>
      <c r="M229"/>
      <c r="N229"/>
      <c r="O229"/>
      <c r="P229"/>
      <c r="Q229"/>
      <c r="R229"/>
      <c r="S229"/>
      <c r="T229"/>
    </row>
    <row r="230" spans="2:20">
      <c r="B230"/>
      <c r="C230"/>
      <c r="D230"/>
      <c r="E230"/>
      <c r="F230"/>
      <c r="G230"/>
      <c r="H230"/>
      <c r="I230"/>
      <c r="J230"/>
      <c r="K230"/>
      <c r="L230"/>
      <c r="M230"/>
      <c r="N230"/>
      <c r="O230"/>
      <c r="P230"/>
      <c r="Q230"/>
      <c r="R230"/>
      <c r="S230"/>
      <c r="T230"/>
    </row>
    <row r="231" spans="2:20">
      <c r="B231"/>
      <c r="C231"/>
      <c r="D231"/>
      <c r="E231"/>
      <c r="F231"/>
      <c r="G231"/>
      <c r="H231"/>
      <c r="I231"/>
      <c r="J231"/>
      <c r="K231"/>
      <c r="L231"/>
      <c r="M231"/>
      <c r="N231"/>
      <c r="O231"/>
      <c r="P231"/>
      <c r="Q231"/>
      <c r="R231"/>
      <c r="S231"/>
      <c r="T231"/>
    </row>
    <row r="232" spans="2:20">
      <c r="B232"/>
      <c r="C232"/>
      <c r="D232"/>
      <c r="E232"/>
      <c r="F232"/>
      <c r="G232"/>
      <c r="H232"/>
      <c r="I232"/>
      <c r="J232"/>
      <c r="K232"/>
      <c r="L232"/>
      <c r="M232"/>
      <c r="N232"/>
      <c r="O232"/>
      <c r="P232"/>
      <c r="Q232"/>
      <c r="R232"/>
      <c r="S232"/>
      <c r="T232"/>
    </row>
    <row r="233" spans="2:20">
      <c r="B233"/>
      <c r="C233"/>
      <c r="D233"/>
      <c r="E233"/>
      <c r="F233"/>
      <c r="G233"/>
      <c r="H233"/>
      <c r="I233"/>
      <c r="J233"/>
      <c r="K233"/>
      <c r="L233"/>
      <c r="M233"/>
      <c r="N233"/>
      <c r="O233"/>
      <c r="P233"/>
      <c r="Q233"/>
      <c r="R233"/>
      <c r="S233"/>
      <c r="T233"/>
    </row>
    <row r="234" spans="2:20">
      <c r="B234"/>
      <c r="C234"/>
      <c r="D234"/>
      <c r="E234"/>
      <c r="F234"/>
      <c r="G234"/>
      <c r="H234"/>
      <c r="I234"/>
      <c r="J234"/>
      <c r="K234"/>
      <c r="L234"/>
      <c r="M234"/>
      <c r="N234"/>
      <c r="O234"/>
      <c r="P234"/>
      <c r="Q234"/>
      <c r="R234"/>
      <c r="S234"/>
      <c r="T234"/>
    </row>
    <row r="235" spans="2:20">
      <c r="B235"/>
      <c r="C235"/>
      <c r="D235"/>
      <c r="E235"/>
      <c r="F235"/>
      <c r="G235"/>
      <c r="H235"/>
      <c r="I235"/>
      <c r="J235"/>
      <c r="K235"/>
      <c r="L235"/>
      <c r="M235"/>
      <c r="N235"/>
      <c r="O235"/>
      <c r="P235"/>
      <c r="Q235"/>
      <c r="R235"/>
      <c r="S235"/>
      <c r="T235"/>
    </row>
    <row r="236" spans="2:20">
      <c r="B236"/>
      <c r="C236"/>
      <c r="D236"/>
      <c r="E236"/>
      <c r="F236"/>
      <c r="G236"/>
      <c r="H236"/>
      <c r="I236"/>
      <c r="J236"/>
      <c r="K236"/>
      <c r="L236"/>
      <c r="M236"/>
      <c r="N236"/>
      <c r="O236"/>
      <c r="P236"/>
      <c r="Q236"/>
      <c r="R236"/>
      <c r="S236"/>
      <c r="T236"/>
    </row>
    <row r="237" spans="2:20">
      <c r="B237"/>
      <c r="C237"/>
      <c r="D237"/>
      <c r="E237"/>
      <c r="F237"/>
      <c r="G237"/>
      <c r="H237"/>
      <c r="I237"/>
      <c r="J237"/>
      <c r="K237"/>
      <c r="L237"/>
      <c r="M237"/>
      <c r="N237"/>
      <c r="O237"/>
      <c r="P237"/>
      <c r="Q237"/>
      <c r="R237"/>
      <c r="S237"/>
      <c r="T237"/>
    </row>
    <row r="238" spans="2:20">
      <c r="B238"/>
      <c r="C238"/>
      <c r="D238"/>
      <c r="E238"/>
      <c r="F238"/>
      <c r="G238"/>
      <c r="H238"/>
      <c r="I238"/>
      <c r="J238"/>
      <c r="K238"/>
      <c r="L238"/>
      <c r="M238"/>
      <c r="N238"/>
      <c r="O238"/>
      <c r="P238"/>
      <c r="Q238"/>
      <c r="R238"/>
      <c r="S238"/>
      <c r="T238"/>
    </row>
    <row r="239" spans="2:20">
      <c r="B239"/>
      <c r="C239"/>
      <c r="D239"/>
      <c r="E239"/>
      <c r="F239"/>
      <c r="G239"/>
      <c r="H239"/>
      <c r="I239"/>
      <c r="J239"/>
      <c r="K239"/>
      <c r="L239"/>
      <c r="M239"/>
      <c r="N239"/>
      <c r="O239"/>
      <c r="P239"/>
      <c r="Q239"/>
      <c r="R239"/>
      <c r="S239"/>
      <c r="T239"/>
    </row>
    <row r="240" spans="2:20">
      <c r="B240"/>
      <c r="C240"/>
      <c r="D240"/>
      <c r="E240"/>
      <c r="F240"/>
      <c r="G240"/>
      <c r="H240"/>
      <c r="I240"/>
      <c r="J240"/>
      <c r="K240"/>
      <c r="L240"/>
      <c r="M240"/>
      <c r="N240"/>
      <c r="O240"/>
      <c r="P240"/>
      <c r="Q240"/>
      <c r="R240"/>
      <c r="S240"/>
      <c r="T240"/>
    </row>
  </sheetData>
  <mergeCells count="33">
    <mergeCell ref="F13:I13"/>
    <mergeCell ref="J13:L13"/>
    <mergeCell ref="M13:O13"/>
    <mergeCell ref="G143:N143"/>
    <mergeCell ref="G144:H144"/>
    <mergeCell ref="F165:L165"/>
    <mergeCell ref="M165:N165"/>
    <mergeCell ref="D31:D35"/>
    <mergeCell ref="D146:D148"/>
    <mergeCell ref="D149:D151"/>
    <mergeCell ref="D152:D154"/>
    <mergeCell ref="D155:D158"/>
    <mergeCell ref="D165:D166"/>
    <mergeCell ref="D167:D187"/>
    <mergeCell ref="D188:D201"/>
    <mergeCell ref="D202:D218"/>
    <mergeCell ref="E146:E148"/>
    <mergeCell ref="E149:E151"/>
    <mergeCell ref="E152:E153"/>
    <mergeCell ref="E155:E158"/>
    <mergeCell ref="E165:E166"/>
    <mergeCell ref="E167:E176"/>
    <mergeCell ref="E177:E183"/>
    <mergeCell ref="E184:E187"/>
    <mergeCell ref="E188:E196"/>
    <mergeCell ref="E197:E201"/>
    <mergeCell ref="E202:E207"/>
    <mergeCell ref="E208:E218"/>
    <mergeCell ref="G167:G168"/>
    <mergeCell ref="K167:K168"/>
    <mergeCell ref="M30:M31"/>
    <mergeCell ref="M32:M41"/>
    <mergeCell ref="D143:F144"/>
  </mergeCells>
  <conditionalFormatting sqref="K167:K218">
    <cfRule type="cellIs" dxfId="363" priority="1" operator="between">
      <formula>0.25</formula>
      <formula>1</formula>
    </cfRule>
  </conditionalFormatting>
  <pageMargins left="0.75" right="0.75" top="1" bottom="1" header="0.5" footer="0.5"/>
  <headerFooter/>
  <tableParts count="2">
    <tablePart r:id="rId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tabColor theme="0"/>
  </sheetPr>
  <dimension ref="A1:Y106"/>
  <sheetViews>
    <sheetView showGridLines="0" workbookViewId="0">
      <selection activeCell="H38" sqref="H38"/>
    </sheetView>
  </sheetViews>
  <sheetFormatPr defaultColWidth="9.14285714285714" defaultRowHeight="16.5"/>
  <cols>
    <col min="1" max="1" width="9.14285714285714" style="17"/>
    <col min="2" max="2" width="3.28571428571429" style="17" customWidth="1"/>
    <col min="3" max="5" width="9.14285714285714" style="17"/>
    <col min="6" max="6" width="19.8571428571429" style="17" customWidth="1"/>
    <col min="7" max="9" width="12.5714285714286" style="17" customWidth="1"/>
    <col min="10" max="10" width="12.2857142857143" style="17" customWidth="1"/>
    <col min="11" max="11" width="13.2857142857143" style="17" customWidth="1"/>
    <col min="12" max="12" width="14.5714285714286" style="17"/>
    <col min="13" max="17" width="9.14285714285714" style="17"/>
    <col min="18" max="18" width="12" style="17" customWidth="1"/>
    <col min="19" max="16382" width="9.14285714285714" style="17"/>
  </cols>
  <sheetData>
    <row r="1" spans="1:25">
      <c r="B1" s="18"/>
      <c r="C1" s="17" t="s">
        <v>1127</v>
      </c>
    </row>
    <row r="3" spans="1:25">
      <c r="D3" s="17" t="s">
        <v>1128</v>
      </c>
      <c r="K3" s="19">
        <v>6</v>
      </c>
      <c r="L3" s="19">
        <v>18</v>
      </c>
      <c r="M3" s="19">
        <v>30</v>
      </c>
      <c r="N3" s="19">
        <v>48</v>
      </c>
      <c r="O3" s="19"/>
      <c r="P3" s="19">
        <v>68</v>
      </c>
      <c r="Q3" s="19">
        <v>98</v>
      </c>
    </row>
    <row r="4" spans="1:25">
      <c r="D4" s="20" t="s">
        <v>1129</v>
      </c>
      <c r="E4" s="20" t="s">
        <v>1130</v>
      </c>
      <c r="F4" s="20" t="s">
        <v>952</v>
      </c>
      <c r="G4" s="20" t="s">
        <v>1131</v>
      </c>
      <c r="H4" s="20" t="s">
        <v>1132</v>
      </c>
      <c r="I4" s="21" t="s">
        <v>1133</v>
      </c>
      <c r="J4" s="20" t="s">
        <v>1134</v>
      </c>
      <c r="K4" s="22" t="s">
        <v>1135</v>
      </c>
      <c r="L4" s="23"/>
      <c r="M4" s="23"/>
      <c r="N4" s="23"/>
      <c r="O4" s="23"/>
      <c r="P4" s="23"/>
      <c r="Q4" s="24"/>
      <c r="R4" s="25" t="s">
        <v>1136</v>
      </c>
      <c r="S4" s="26" t="s">
        <v>247</v>
      </c>
      <c r="T4" s="26"/>
      <c r="U4" s="26"/>
      <c r="V4" s="26" t="s">
        <v>1137</v>
      </c>
      <c r="W4" s="26"/>
      <c r="X4" s="26"/>
      <c r="Y4" s="26"/>
    </row>
    <row r="5" spans="1:25">
      <c r="D5" s="20"/>
      <c r="E5" s="20"/>
      <c r="F5" s="20"/>
      <c r="G5" s="20"/>
      <c r="H5" s="20"/>
      <c r="I5" s="21"/>
      <c r="J5" s="20"/>
      <c r="K5" s="20">
        <v>6340</v>
      </c>
      <c r="L5" s="25">
        <v>2040</v>
      </c>
      <c r="M5" s="25">
        <v>3900</v>
      </c>
      <c r="N5" s="25">
        <f>M5+L5+I92</f>
        <v>6820</v>
      </c>
      <c r="O5" s="27"/>
      <c r="P5" s="25">
        <f>I94</f>
        <v>13520</v>
      </c>
      <c r="Q5" s="25">
        <f>I98</f>
        <v>14940</v>
      </c>
      <c r="R5" s="28"/>
      <c r="S5" s="26"/>
      <c r="T5" s="26"/>
      <c r="U5" s="26"/>
      <c r="V5" s="29"/>
      <c r="W5" s="29"/>
      <c r="X5" s="29"/>
      <c r="Y5" s="29"/>
    </row>
    <row r="6" spans="1:25">
      <c r="D6" s="20"/>
      <c r="E6" s="20"/>
      <c r="F6" s="20"/>
      <c r="G6" s="20"/>
      <c r="H6" s="20"/>
      <c r="I6" s="21"/>
      <c r="J6" s="20"/>
      <c r="K6" s="20" t="s">
        <v>1138</v>
      </c>
      <c r="L6" s="25" t="s">
        <v>1139</v>
      </c>
      <c r="M6" s="25" t="s">
        <v>1140</v>
      </c>
      <c r="N6" s="25" t="s">
        <v>849</v>
      </c>
      <c r="O6" s="27" t="s">
        <v>1141</v>
      </c>
      <c r="P6" s="25" t="s">
        <v>806</v>
      </c>
      <c r="Q6" s="25" t="s">
        <v>1142</v>
      </c>
      <c r="R6" s="28" t="s">
        <v>1143</v>
      </c>
      <c r="S6" s="30" t="s">
        <v>818</v>
      </c>
      <c r="T6" s="30" t="s">
        <v>827</v>
      </c>
      <c r="U6" s="30" t="s">
        <v>1144</v>
      </c>
      <c r="V6" s="31" t="s">
        <v>1145</v>
      </c>
      <c r="W6" s="31"/>
      <c r="X6" s="32"/>
      <c r="Y6" s="32"/>
    </row>
    <row r="7" spans="1:25">
      <c r="D7" s="20" t="s">
        <v>416</v>
      </c>
      <c r="E7" s="20">
        <v>1</v>
      </c>
      <c r="F7" s="33" t="s">
        <v>1146</v>
      </c>
      <c r="G7" s="25"/>
      <c r="H7" s="25"/>
      <c r="I7" s="25"/>
      <c r="J7" s="25"/>
      <c r="K7" s="25"/>
      <c r="L7" s="34"/>
      <c r="M7" s="34"/>
      <c r="N7" s="34"/>
      <c r="O7" s="30"/>
      <c r="P7" s="34"/>
      <c r="Q7" s="34"/>
      <c r="R7" s="34"/>
      <c r="S7" s="30"/>
      <c r="T7" s="30"/>
      <c r="U7" s="30"/>
      <c r="V7" s="30"/>
      <c r="W7" s="30"/>
      <c r="X7" s="27"/>
      <c r="Y7" s="27"/>
    </row>
    <row r="8" spans="1:25">
      <c r="D8" s="20" t="s">
        <v>417</v>
      </c>
      <c r="E8" s="20">
        <v>1</v>
      </c>
      <c r="F8" s="33" t="s">
        <v>1147</v>
      </c>
      <c r="G8" s="25" cm="1">
        <f t="array" ref="G8">SUMPRODUCT(--(K8:Y8&gt;0),K$3:Y$3)</f>
        <v>6</v>
      </c>
      <c r="H8" s="35" cm="1">
        <f t="array" ref="H8">SUMPRODUCT(--($K8:$Y8&gt;0),$K$5:$Y$5)/10/G8</f>
        <v>105.666666666667</v>
      </c>
      <c r="I8" s="25"/>
      <c r="J8" s="25"/>
      <c r="K8" s="36">
        <v>1</v>
      </c>
      <c r="L8" s="34"/>
      <c r="M8" s="34"/>
      <c r="N8" s="34"/>
      <c r="O8" s="30"/>
      <c r="P8" s="34"/>
      <c r="Q8" s="34"/>
      <c r="R8" s="34"/>
      <c r="S8" s="30"/>
      <c r="T8" s="30"/>
      <c r="U8" s="30"/>
      <c r="V8" s="30"/>
      <c r="W8" s="30"/>
      <c r="X8" s="27"/>
      <c r="Y8" s="27"/>
    </row>
    <row r="9" spans="1:25">
      <c r="A9" s="17">
        <f>60+68</f>
        <v>128</v>
      </c>
      <c r="D9" s="20"/>
      <c r="E9" s="20">
        <v>2</v>
      </c>
      <c r="F9" s="20" t="s">
        <v>1148</v>
      </c>
      <c r="G9" s="25" cm="1">
        <f t="array" ref="G9">SUMPRODUCT(--(K9:Y9&gt;0),K$3:Y$3)</f>
        <v>24</v>
      </c>
      <c r="H9" s="35" cm="1">
        <f t="array" ref="H9">SUMPRODUCT(--($K9:$Y9&gt;0),$K$5:$Y$5)/10/G9</f>
        <v>34.9166666666667</v>
      </c>
      <c r="I9" s="25"/>
      <c r="J9" s="25"/>
      <c r="K9" s="36">
        <v>1</v>
      </c>
      <c r="L9" s="25">
        <v>1</v>
      </c>
      <c r="M9" s="34"/>
      <c r="N9" s="34"/>
      <c r="O9" s="30"/>
      <c r="P9" s="34"/>
      <c r="Q9" s="34"/>
      <c r="R9" s="34"/>
      <c r="S9" s="30"/>
      <c r="T9" s="30"/>
      <c r="U9" s="30"/>
      <c r="V9" s="30"/>
      <c r="W9" s="30"/>
      <c r="X9" s="27"/>
      <c r="Y9" s="27"/>
    </row>
    <row r="10" spans="1:25">
      <c r="D10" s="20"/>
      <c r="E10" s="20">
        <v>3</v>
      </c>
      <c r="F10" s="33" t="s">
        <v>1149</v>
      </c>
      <c r="G10" s="25" cm="1">
        <f t="array" ref="G10">SUMPRODUCT(--(K10:Y10&gt;0),K$3:Y$3)</f>
        <v>54</v>
      </c>
      <c r="H10" s="35" cm="1">
        <f t="array" ref="H10">SUMPRODUCT(--($K10:$Y10&gt;0),$K$5:$Y$5)/10/G10</f>
        <v>24.3703703703704</v>
      </c>
      <c r="I10" s="25"/>
      <c r="J10" s="25"/>
      <c r="K10" s="36">
        <v>1</v>
      </c>
      <c r="L10" s="25"/>
      <c r="M10" s="25"/>
      <c r="N10" s="25">
        <v>1</v>
      </c>
      <c r="O10" s="30"/>
      <c r="P10" s="34"/>
      <c r="Q10" s="34"/>
      <c r="R10" s="34"/>
      <c r="S10" s="30"/>
      <c r="T10" s="30"/>
      <c r="U10" s="30"/>
      <c r="V10" s="30"/>
      <c r="W10" s="30"/>
      <c r="X10" s="27"/>
      <c r="Y10" s="27"/>
    </row>
    <row r="11" spans="1:25">
      <c r="D11" s="20"/>
      <c r="E11" s="20">
        <v>4</v>
      </c>
      <c r="F11" s="33" t="s">
        <v>1150</v>
      </c>
      <c r="G11" s="25" cm="1">
        <f t="array" ref="G11">SUMPRODUCT(--(K11:Y11&gt;0),K$3:Y$3)</f>
        <v>220</v>
      </c>
      <c r="H11" s="35" cm="1">
        <f t="array" ref="H11">SUMPRODUCT(--($K11:$Y11&gt;0),$K$5:$Y$5)/10/G11</f>
        <v>18.9181818181818</v>
      </c>
      <c r="I11" s="25"/>
      <c r="J11" s="25"/>
      <c r="K11" s="36">
        <v>1</v>
      </c>
      <c r="L11" s="25"/>
      <c r="M11" s="25"/>
      <c r="N11" s="25">
        <v>1</v>
      </c>
      <c r="O11" s="30"/>
      <c r="P11" s="25">
        <v>1</v>
      </c>
      <c r="Q11" s="25">
        <v>1</v>
      </c>
      <c r="R11" s="34"/>
      <c r="S11" s="30"/>
      <c r="T11" s="30"/>
      <c r="U11" s="30"/>
      <c r="V11" s="30"/>
      <c r="W11" s="30"/>
      <c r="X11" s="27"/>
      <c r="Y11" s="27"/>
    </row>
    <row r="12" spans="1:25">
      <c r="D12" s="20"/>
      <c r="E12" s="20">
        <v>5</v>
      </c>
      <c r="F12" s="20" t="s">
        <v>1151</v>
      </c>
      <c r="G12" s="25" cm="1">
        <f t="array" ref="G12">SUMPRODUCT(--(K12:Y12&gt;0),K$3:Y$3)</f>
        <v>220</v>
      </c>
      <c r="H12" s="35" cm="1">
        <f t="array" ref="H12">SUMPRODUCT(--($K12:$Y12&gt;0),$K$5:$Y$5)/10/G12</f>
        <v>18.9181818181818</v>
      </c>
      <c r="I12" s="25"/>
      <c r="J12" s="25"/>
      <c r="K12" s="36">
        <v>1</v>
      </c>
      <c r="L12" s="25"/>
      <c r="M12" s="25"/>
      <c r="N12" s="25">
        <v>1</v>
      </c>
      <c r="O12" s="30"/>
      <c r="P12" s="25">
        <v>1</v>
      </c>
      <c r="Q12" s="25">
        <v>1</v>
      </c>
      <c r="R12" s="34"/>
      <c r="S12" s="30"/>
      <c r="T12" s="30"/>
      <c r="U12" s="30"/>
      <c r="V12" s="30"/>
      <c r="W12" s="30"/>
      <c r="X12" s="27"/>
      <c r="Y12" s="27"/>
    </row>
    <row r="13" spans="1:25">
      <c r="D13" s="20" t="s">
        <v>262</v>
      </c>
      <c r="E13" s="20">
        <v>1</v>
      </c>
      <c r="F13" s="20" t="s">
        <v>1152</v>
      </c>
      <c r="G13" s="25" cm="1">
        <f t="array" ref="G13">SUMPRODUCT(--(K13:Y13&gt;0),K$3:Y$3)</f>
        <v>220</v>
      </c>
      <c r="H13" s="35" cm="1">
        <f t="array" ref="H13">SUMPRODUCT(--($K13:$Y13&gt;0),$K$5:$Y$5)/10/G13</f>
        <v>18.9181818181818</v>
      </c>
      <c r="I13" s="25"/>
      <c r="J13" s="25"/>
      <c r="K13" s="36">
        <v>1</v>
      </c>
      <c r="L13" s="25"/>
      <c r="M13" s="25"/>
      <c r="N13" s="25">
        <v>1</v>
      </c>
      <c r="O13" s="30"/>
      <c r="P13" s="25">
        <v>1</v>
      </c>
      <c r="Q13" s="25">
        <v>1</v>
      </c>
      <c r="R13" s="34"/>
      <c r="S13" s="30"/>
      <c r="T13" s="30"/>
      <c r="U13" s="30"/>
      <c r="V13" s="30"/>
      <c r="W13" s="30"/>
      <c r="X13" s="27"/>
      <c r="Y13" s="27"/>
    </row>
    <row r="14" spans="1:25">
      <c r="D14" s="20"/>
      <c r="E14" s="20">
        <v>2</v>
      </c>
      <c r="F14" s="20" t="s">
        <v>1153</v>
      </c>
      <c r="G14" s="25" cm="1">
        <f t="array" ref="G14">SUMPRODUCT(--(K14:Y14&gt;0),K$3:Y$3)</f>
        <v>220</v>
      </c>
      <c r="H14" s="35" cm="1">
        <f t="array" ref="H14">SUMPRODUCT(--($K14:$Y14&gt;0),$K$5:$Y$5)/10/G14</f>
        <v>18.9181818181818</v>
      </c>
      <c r="I14" s="25"/>
      <c r="J14" s="25"/>
      <c r="K14" s="36">
        <v>1</v>
      </c>
      <c r="L14" s="25"/>
      <c r="M14" s="25"/>
      <c r="N14" s="25">
        <v>1</v>
      </c>
      <c r="O14" s="30"/>
      <c r="P14" s="25">
        <v>1</v>
      </c>
      <c r="Q14" s="25">
        <v>1</v>
      </c>
      <c r="R14" s="34"/>
      <c r="S14" s="30"/>
      <c r="T14" s="30"/>
      <c r="U14" s="30"/>
      <c r="V14" s="30"/>
      <c r="W14" s="30"/>
      <c r="X14" s="27"/>
      <c r="Y14" s="27"/>
    </row>
    <row r="15" spans="1:25">
      <c r="D15" s="20"/>
      <c r="E15" s="20">
        <v>3</v>
      </c>
      <c r="F15" s="20" t="s">
        <v>1154</v>
      </c>
      <c r="G15" s="25" cm="1">
        <f t="array" ref="G15">SUMPRODUCT(--(K15:Y15&gt;0),K$3:Y$3)</f>
        <v>220</v>
      </c>
      <c r="H15" s="35" cm="1">
        <f t="array" ref="H15">SUMPRODUCT(--($K15:$Y15&gt;0),$K$5:$Y$5)/10/G15</f>
        <v>18.9181818181818</v>
      </c>
      <c r="I15" s="25"/>
      <c r="J15" s="25"/>
      <c r="K15" s="36">
        <v>1</v>
      </c>
      <c r="L15" s="25"/>
      <c r="M15" s="25"/>
      <c r="N15" s="25">
        <v>1</v>
      </c>
      <c r="O15" s="30"/>
      <c r="P15" s="25">
        <v>1</v>
      </c>
      <c r="Q15" s="25">
        <v>1</v>
      </c>
      <c r="R15" s="34"/>
      <c r="S15" s="30"/>
      <c r="T15" s="30"/>
      <c r="U15" s="30"/>
      <c r="V15" s="30"/>
      <c r="W15" s="30"/>
      <c r="X15" s="27"/>
      <c r="Y15" s="27"/>
    </row>
    <row r="16" ht="33" spans="1:25">
      <c r="D16" s="20"/>
      <c r="E16" s="20">
        <v>4</v>
      </c>
      <c r="F16" s="37" t="s">
        <v>1155</v>
      </c>
      <c r="G16" s="25" cm="1">
        <f t="array" ref="G16">SUMPRODUCT(--(K16:Y16&gt;0),K$3:Y$3)</f>
        <v>220</v>
      </c>
      <c r="H16" s="35" cm="1">
        <f t="array" ref="H16">SUMPRODUCT(--($K16:$Y16&gt;0),$K$5:$Y$5)/10/G16</f>
        <v>18.9181818181818</v>
      </c>
      <c r="I16" s="25"/>
      <c r="J16" s="25"/>
      <c r="K16" s="36">
        <v>1</v>
      </c>
      <c r="L16" s="25"/>
      <c r="M16" s="25"/>
      <c r="N16" s="25">
        <v>1</v>
      </c>
      <c r="O16" s="30"/>
      <c r="P16" s="25">
        <v>1</v>
      </c>
      <c r="Q16" s="25">
        <v>1</v>
      </c>
      <c r="R16" s="34"/>
      <c r="S16" s="30"/>
      <c r="T16" s="30"/>
      <c r="U16" s="30"/>
      <c r="V16" s="30"/>
      <c r="W16" s="30"/>
      <c r="X16" s="27"/>
      <c r="Y16" s="27"/>
    </row>
    <row r="17" spans="2:25">
      <c r="D17" s="20" t="s">
        <v>239</v>
      </c>
      <c r="E17" s="20">
        <v>1</v>
      </c>
      <c r="F17" s="20" t="s">
        <v>1156</v>
      </c>
      <c r="G17" s="25" cm="1">
        <f t="array" ref="G17">SUMPRODUCT(--(K17:Y17&gt;0),K$3:Y$3)</f>
        <v>220</v>
      </c>
      <c r="H17" s="35" cm="1">
        <f t="array" ref="H17">SUMPRODUCT(--($K17:$Y17&gt;0),$K$5:$Y$5)/10/G17</f>
        <v>18.9181818181818</v>
      </c>
      <c r="I17" s="25"/>
      <c r="J17" s="25"/>
      <c r="K17" s="36">
        <v>1</v>
      </c>
      <c r="L17" s="25"/>
      <c r="M17" s="25"/>
      <c r="N17" s="25">
        <v>1</v>
      </c>
      <c r="O17" s="30"/>
      <c r="P17" s="25">
        <v>1</v>
      </c>
      <c r="Q17" s="25">
        <v>1</v>
      </c>
      <c r="R17" s="34"/>
      <c r="S17" s="30"/>
      <c r="T17" s="30"/>
      <c r="U17" s="30"/>
      <c r="V17" s="30"/>
      <c r="W17" s="30"/>
      <c r="X17" s="27"/>
      <c r="Y17" s="27"/>
    </row>
    <row r="18" spans="2:25">
      <c r="D18" s="20"/>
      <c r="E18" s="20">
        <v>2</v>
      </c>
      <c r="F18" s="20" t="s">
        <v>1157</v>
      </c>
      <c r="G18" s="25" cm="1">
        <f t="array" ref="G18">SUMPRODUCT(--(K18:Y18&gt;0),K$3:Y$3)</f>
        <v>220</v>
      </c>
      <c r="H18" s="35" cm="1">
        <f t="array" ref="H18">SUMPRODUCT(--($K18:$Y18&gt;0),$K$5:$Y$5)/10/G18</f>
        <v>18.9181818181818</v>
      </c>
      <c r="I18" s="25"/>
      <c r="J18" s="25"/>
      <c r="K18" s="36">
        <v>1</v>
      </c>
      <c r="L18" s="25"/>
      <c r="M18" s="25"/>
      <c r="N18" s="25">
        <v>1</v>
      </c>
      <c r="O18" s="30"/>
      <c r="P18" s="25">
        <v>1</v>
      </c>
      <c r="Q18" s="25">
        <v>1</v>
      </c>
      <c r="R18" s="34"/>
      <c r="S18" s="30"/>
      <c r="T18" s="30"/>
      <c r="U18" s="30"/>
      <c r="V18" s="30"/>
      <c r="W18" s="30"/>
      <c r="X18" s="27"/>
      <c r="Y18" s="27"/>
    </row>
    <row r="19" spans="2:25">
      <c r="D19" s="20"/>
      <c r="E19" s="20">
        <v>3</v>
      </c>
      <c r="F19" s="20" t="s">
        <v>1158</v>
      </c>
      <c r="G19" s="25" cm="1">
        <f t="array" ref="G19">SUMPRODUCT(--(K19:Y19&gt;0),K$3:Y$3)</f>
        <v>220</v>
      </c>
      <c r="H19" s="35" cm="1">
        <f t="array" ref="H19">SUMPRODUCT(--($K19:$Y19&gt;0),$K$5:$Y$5)/10/G19</f>
        <v>18.9181818181818</v>
      </c>
      <c r="I19" s="25"/>
      <c r="J19" s="25"/>
      <c r="K19" s="36">
        <v>1</v>
      </c>
      <c r="L19" s="25"/>
      <c r="M19" s="25"/>
      <c r="N19" s="25">
        <v>1</v>
      </c>
      <c r="O19" s="30"/>
      <c r="P19" s="25">
        <v>1</v>
      </c>
      <c r="Q19" s="25">
        <v>1</v>
      </c>
      <c r="R19" s="34"/>
      <c r="S19" s="30"/>
      <c r="T19" s="30"/>
      <c r="U19" s="30"/>
      <c r="V19" s="30"/>
      <c r="W19" s="30"/>
      <c r="X19" s="27"/>
      <c r="Y19" s="27"/>
    </row>
    <row r="20" spans="2:25">
      <c r="D20" s="20" t="s">
        <v>246</v>
      </c>
      <c r="E20" s="20">
        <v>1</v>
      </c>
      <c r="F20" s="20" t="s">
        <v>1159</v>
      </c>
      <c r="G20" s="25" cm="1">
        <f t="array" ref="G20">SUMPRODUCT(--(K20:Y20&gt;0),K$3:Y$3)</f>
        <v>220</v>
      </c>
      <c r="H20" s="35" cm="1">
        <f t="array" ref="H20">SUMPRODUCT(--($K20:$Y20&gt;0),$K$5:$Y$5)/10/G20</f>
        <v>18.9181818181818</v>
      </c>
      <c r="I20" s="25"/>
      <c r="J20" s="25"/>
      <c r="K20" s="36">
        <v>1</v>
      </c>
      <c r="L20" s="25"/>
      <c r="M20" s="25"/>
      <c r="N20" s="25">
        <v>1</v>
      </c>
      <c r="O20" s="30"/>
      <c r="P20" s="25">
        <v>1</v>
      </c>
      <c r="Q20" s="25">
        <v>1</v>
      </c>
      <c r="R20" s="34"/>
      <c r="S20" s="30"/>
      <c r="T20" s="30"/>
      <c r="U20" s="30"/>
      <c r="V20" s="30"/>
      <c r="W20" s="30"/>
      <c r="X20" s="27"/>
      <c r="Y20" s="27"/>
    </row>
    <row r="24" spans="2:25">
      <c r="B24" s="18"/>
      <c r="C24" s="17" t="s">
        <v>1160</v>
      </c>
    </row>
    <row r="26" spans="2:25">
      <c r="D26" s="9" t="s">
        <v>588</v>
      </c>
      <c r="E26" s="9" t="s">
        <v>735</v>
      </c>
      <c r="F26" s="9" t="s">
        <v>1161</v>
      </c>
      <c r="G26" s="9" t="s">
        <v>1162</v>
      </c>
      <c r="H26" s="9" t="s">
        <v>637</v>
      </c>
      <c r="I26" s="9" t="s">
        <v>1163</v>
      </c>
      <c r="J26" s="9" t="s">
        <v>1093</v>
      </c>
      <c r="K26" s="9" t="s">
        <v>924</v>
      </c>
    </row>
    <row r="27" spans="2:25">
      <c r="D27" s="12">
        <v>1</v>
      </c>
      <c r="E27" s="12" t="s">
        <v>1164</v>
      </c>
      <c r="F27" s="12" t="s">
        <v>971</v>
      </c>
      <c r="G27" s="14">
        <f>H27/VLOOKUP(F27,商业化框架!$F$47:$H$136,3,0)</f>
        <v>3500</v>
      </c>
      <c r="H27" s="12">
        <f>SUMIFS(商业化框架!$G$146:$G$158,商业化框架!$F$146:$F$158,F27)/60</f>
        <v>3500</v>
      </c>
      <c r="I27" s="14">
        <f>SUM(H27:H34)</f>
        <v>16695</v>
      </c>
      <c r="J27" s="12"/>
      <c r="K27" s="38">
        <v>1</v>
      </c>
    </row>
    <row r="28" spans="2:25">
      <c r="D28" s="12"/>
      <c r="E28" s="12"/>
      <c r="F28" s="12" t="s">
        <v>975</v>
      </c>
      <c r="G28" s="14">
        <f>H28/VLOOKUP(F28,商业化框架!$F$47:$H$136,3,0)</f>
        <v>100</v>
      </c>
      <c r="H28" s="12">
        <f>SUMIFS(商业化框架!$G$146:$G$158,商业化框架!$F$146:$F$158,F28)/60/2</f>
        <v>3000</v>
      </c>
      <c r="I28" s="12"/>
      <c r="J28" s="12"/>
      <c r="K28" s="12"/>
    </row>
    <row r="29" spans="2:25">
      <c r="D29" s="12"/>
      <c r="E29" s="12"/>
      <c r="F29" s="12" t="s">
        <v>755</v>
      </c>
      <c r="G29" s="14">
        <f>H29/VLOOKUP(F29,商业化框架!$F$47:$H$136,3,0)</f>
        <v>75000</v>
      </c>
      <c r="H29" s="12">
        <f>SUMIFS(商业化框架!$G$146:$G$158,商业化框架!$F$146:$F$158,F29)/60</f>
        <v>3750</v>
      </c>
      <c r="I29" s="12"/>
      <c r="J29" s="12"/>
      <c r="K29" s="12"/>
    </row>
    <row r="30" spans="2:25">
      <c r="D30" s="12"/>
      <c r="E30" s="12"/>
      <c r="F30" s="12" t="s">
        <v>998</v>
      </c>
      <c r="G30" s="14">
        <f>H30/VLOOKUP(F30,商业化框架!$F$47:$H$136,3,0)</f>
        <v>1250</v>
      </c>
      <c r="H30" s="12">
        <f>SUMIFS(商业化框架!$G$146:$G$158,商业化框架!$F$146:$F$158,F30)/60</f>
        <v>3750</v>
      </c>
      <c r="I30" s="12"/>
      <c r="J30" s="12"/>
      <c r="K30" s="12"/>
    </row>
    <row r="31" spans="2:25">
      <c r="D31" s="12"/>
      <c r="E31" s="12"/>
      <c r="F31" s="12" t="s">
        <v>1022</v>
      </c>
      <c r="G31" s="14">
        <f>H31/VLOOKUP(F31,商业化框架!$F$47:$H$136,3,0)</f>
        <v>62.5</v>
      </c>
      <c r="H31" s="12">
        <f>SUMIFS(商业化框架!$G$146:$G$158,商业化框架!$F$146:$F$158,F31)/60</f>
        <v>1000</v>
      </c>
      <c r="I31" s="12"/>
      <c r="J31" s="12"/>
      <c r="K31" s="12"/>
    </row>
    <row r="32" spans="2:25">
      <c r="D32" s="12"/>
      <c r="E32" s="12"/>
      <c r="F32" s="12" t="s">
        <v>1019</v>
      </c>
      <c r="G32" s="14">
        <f>H32/VLOOKUP(F32,商业化框架!$F$47:$H$136,3,0)</f>
        <v>1.66666666666667</v>
      </c>
      <c r="H32" s="12">
        <f>SUMIFS(商业化框架!$G$146:$G$158,商业化框架!$F$146:$F$158,F32)/60</f>
        <v>100</v>
      </c>
      <c r="I32" s="12"/>
      <c r="J32" s="12"/>
      <c r="K32" s="12"/>
    </row>
    <row r="33" spans="4:12">
      <c r="D33" s="12"/>
      <c r="E33" s="12"/>
      <c r="F33" s="12" t="s">
        <v>1039</v>
      </c>
      <c r="G33" s="14">
        <f>H33/VLOOKUP(F33,商业化框架!$F$47:$H$136,3,0)</f>
        <v>291.666666666667</v>
      </c>
      <c r="H33" s="12">
        <f>SUMIFS(商业化框架!$G$146:$G$158,商业化框架!$F$146:$F$158,F33)/60</f>
        <v>875</v>
      </c>
      <c r="I33" s="12"/>
      <c r="J33" s="12"/>
      <c r="K33" s="12"/>
    </row>
    <row r="34" spans="4:12">
      <c r="D34" s="12"/>
      <c r="E34" s="12"/>
      <c r="F34" s="12" t="s">
        <v>1045</v>
      </c>
      <c r="G34" s="14">
        <f>H34/VLOOKUP(F34,商业化框架!$F$47:$H$136,3,0)</f>
        <v>144</v>
      </c>
      <c r="H34" s="12">
        <f>SUMIFS(商业化框架!$G$146:$G$158,商业化框架!$F$146:$F$158,F34)/60</f>
        <v>720</v>
      </c>
      <c r="I34" s="12"/>
      <c r="J34" s="12"/>
      <c r="K34" s="12"/>
    </row>
    <row r="35" spans="4:12">
      <c r="D35" s="12">
        <v>2</v>
      </c>
      <c r="E35" s="12" t="s">
        <v>958</v>
      </c>
      <c r="F35" s="12" t="s">
        <v>755</v>
      </c>
      <c r="G35" s="12">
        <v>180</v>
      </c>
      <c r="H35" s="12">
        <f>G35*VLOOKUP(F35,商业化框架!$F$47:$H$136,3,0)</f>
        <v>9</v>
      </c>
      <c r="I35" s="12">
        <f>SUM(H35:H43)</f>
        <v>147.2</v>
      </c>
      <c r="J35" s="12">
        <f>VLOOKUP(E35,商业化框架!$F$47:$H$136,3,0)*10</f>
        <v>20</v>
      </c>
      <c r="K35" s="38">
        <f>I35/J35</f>
        <v>7.36</v>
      </c>
    </row>
    <row r="36" spans="4:12">
      <c r="D36" s="12"/>
      <c r="E36" s="12"/>
      <c r="F36" s="12" t="s">
        <v>971</v>
      </c>
      <c r="G36" s="12">
        <v>40</v>
      </c>
      <c r="H36" s="12">
        <f>G36*VLOOKUP(F36,商业化框架!$F$47:$H$136,3,0)</f>
        <v>40</v>
      </c>
      <c r="I36" s="12"/>
      <c r="J36" s="12"/>
      <c r="K36" s="12"/>
    </row>
    <row r="37" spans="4:12">
      <c r="D37" s="12"/>
      <c r="E37" s="12"/>
      <c r="F37" s="12" t="s">
        <v>998</v>
      </c>
      <c r="G37" s="12">
        <v>8</v>
      </c>
      <c r="H37" s="12">
        <f>G37*VLOOKUP(F37,商业化框架!$F$47:$H$136,3,0)</f>
        <v>24</v>
      </c>
      <c r="I37" s="12"/>
      <c r="J37" s="12"/>
      <c r="K37" s="12"/>
    </row>
    <row r="38" spans="4:12">
      <c r="D38" s="12"/>
      <c r="E38" s="12"/>
      <c r="F38" s="12" t="s">
        <v>1002</v>
      </c>
      <c r="G38" s="12">
        <v>1</v>
      </c>
      <c r="H38" s="12">
        <f>G38*VLOOKUP(F38,商业化框架!$F$47:$H$136,3,0)</f>
        <v>15</v>
      </c>
      <c r="I38" s="12"/>
      <c r="J38" s="12"/>
      <c r="K38" s="12"/>
    </row>
    <row r="39" spans="4:12">
      <c r="D39" s="12"/>
      <c r="E39" s="12"/>
      <c r="F39" s="12" t="s">
        <v>975</v>
      </c>
      <c r="G39" s="12">
        <v>0.5</v>
      </c>
      <c r="H39" s="12">
        <f>G39*VLOOKUP(F39,商业化框架!$F$47:$H$136,3,0)</f>
        <v>15</v>
      </c>
      <c r="I39" s="12"/>
      <c r="J39" s="12"/>
      <c r="K39" s="12"/>
    </row>
    <row r="40" spans="4:12">
      <c r="D40" s="12"/>
      <c r="E40" s="12"/>
      <c r="F40" s="12" t="s">
        <v>1039</v>
      </c>
      <c r="G40" s="12">
        <v>5</v>
      </c>
      <c r="H40" s="12">
        <f>G40*VLOOKUP(F40,商业化框架!$F$47:$H$136,3,0)</f>
        <v>15</v>
      </c>
      <c r="I40" s="12"/>
      <c r="J40" s="12"/>
      <c r="K40" s="12"/>
    </row>
    <row r="41" spans="4:12">
      <c r="D41" s="12"/>
      <c r="E41" s="12"/>
      <c r="F41" s="12" t="s">
        <v>1017</v>
      </c>
      <c r="G41" s="12">
        <v>2</v>
      </c>
      <c r="H41" s="12">
        <f>G41*VLOOKUP(F41,商业化框架!$F$47:$H$136,3,0)</f>
        <v>10</v>
      </c>
      <c r="I41" s="12"/>
      <c r="J41" s="12"/>
      <c r="K41" s="12"/>
    </row>
    <row r="42" spans="4:12">
      <c r="D42" s="12"/>
      <c r="E42" s="12"/>
      <c r="F42" s="12" t="s">
        <v>1022</v>
      </c>
      <c r="G42" s="12">
        <v>1.2</v>
      </c>
      <c r="H42" s="12">
        <f>G42*VLOOKUP(F42,商业化框架!$F$47:$H$136,3,0)</f>
        <v>19.2</v>
      </c>
      <c r="I42" s="12"/>
      <c r="J42" s="12"/>
      <c r="K42" s="12"/>
    </row>
    <row r="43" spans="4:12">
      <c r="D43" s="12"/>
      <c r="E43" s="12"/>
      <c r="F43" s="12"/>
      <c r="G43" s="12"/>
      <c r="H43" s="12"/>
      <c r="I43" s="12"/>
      <c r="J43" s="12"/>
      <c r="K43" s="12"/>
    </row>
    <row r="44" spans="4:12">
      <c r="D44" s="39">
        <v>3</v>
      </c>
      <c r="E44" s="39" t="s">
        <v>1165</v>
      </c>
      <c r="F44" s="12" t="s">
        <v>755</v>
      </c>
      <c r="G44" s="12">
        <v>300</v>
      </c>
      <c r="H44" s="12">
        <f>G44*VLOOKUP(F44,商业化框架!$F$47:$H$136,3,0)</f>
        <v>15</v>
      </c>
      <c r="I44" s="12">
        <f>SUM(H44:H49)</f>
        <v>114.25</v>
      </c>
      <c r="J44" s="12"/>
      <c r="K44" s="15">
        <v>1</v>
      </c>
      <c r="L44" s="17" t="s">
        <v>1166</v>
      </c>
    </row>
    <row r="45" spans="4:12">
      <c r="D45" s="40"/>
      <c r="E45" s="40"/>
      <c r="F45" s="12" t="s">
        <v>971</v>
      </c>
      <c r="G45" s="12">
        <v>40</v>
      </c>
      <c r="H45" s="12">
        <f>G45*VLOOKUP(F45,商业化框架!$F$47:$H$136,3,0)</f>
        <v>40</v>
      </c>
      <c r="I45" s="12"/>
      <c r="J45" s="12"/>
      <c r="K45" s="12"/>
    </row>
    <row r="46" spans="4:12">
      <c r="D46" s="40"/>
      <c r="E46" s="40"/>
      <c r="F46" s="12" t="s">
        <v>1002</v>
      </c>
      <c r="G46" s="12">
        <v>1</v>
      </c>
      <c r="H46" s="12">
        <f>G46*VLOOKUP(F46,商业化框架!$F$47:$H$136,3,0)</f>
        <v>15</v>
      </c>
      <c r="I46" s="12"/>
      <c r="J46" s="12"/>
      <c r="K46" s="12"/>
    </row>
    <row r="47" spans="4:12">
      <c r="D47" s="40"/>
      <c r="E47" s="40"/>
      <c r="F47" s="12" t="s">
        <v>998</v>
      </c>
      <c r="G47" s="12">
        <v>12</v>
      </c>
      <c r="H47" s="12">
        <f>G47*VLOOKUP(F47,商业化框架!$F$47:$H$136,3,0)</f>
        <v>36</v>
      </c>
      <c r="I47" s="12"/>
      <c r="J47" s="12"/>
      <c r="K47" s="12"/>
    </row>
    <row r="48" spans="4:12">
      <c r="D48" s="40"/>
      <c r="E48" s="40"/>
      <c r="F48" s="12" t="s">
        <v>1012</v>
      </c>
      <c r="G48" s="12">
        <v>0.125</v>
      </c>
      <c r="H48" s="12">
        <f>G48*VLOOKUP(F48,商业化框架!$F$47:$H$136,3,0)</f>
        <v>6.25</v>
      </c>
      <c r="I48" s="12"/>
      <c r="J48" s="12"/>
      <c r="K48" s="12"/>
    </row>
    <row r="49" spans="4:12">
      <c r="D49" s="41"/>
      <c r="E49" s="41"/>
      <c r="F49" s="12" t="s">
        <v>953</v>
      </c>
      <c r="G49" s="12">
        <v>2</v>
      </c>
      <c r="H49" s="12">
        <f>G49*VLOOKUP(F49,商业化框架!$F$47:$H$136,3,0)</f>
        <v>2</v>
      </c>
      <c r="I49" s="12"/>
      <c r="J49" s="12"/>
      <c r="K49" s="12"/>
    </row>
    <row r="50" spans="4:12">
      <c r="D50" s="39">
        <v>3</v>
      </c>
      <c r="E50" s="39" t="s">
        <v>1167</v>
      </c>
      <c r="F50" s="12" t="s">
        <v>755</v>
      </c>
      <c r="G50" s="12">
        <f>180*2</f>
        <v>360</v>
      </c>
      <c r="H50" s="12">
        <f>G50*VLOOKUP(F50,商业化框架!$F$47:$H$136,3,0)</f>
        <v>18</v>
      </c>
      <c r="I50" s="12" t="e">
        <f>SUM(H50:H55)</f>
        <v>#N/A</v>
      </c>
      <c r="J50" s="12">
        <v>40</v>
      </c>
      <c r="K50" s="38" t="e">
        <f>I50/J50</f>
        <v>#N/A</v>
      </c>
      <c r="L50" s="17" t="s">
        <v>1168</v>
      </c>
    </row>
    <row r="51" spans="4:12">
      <c r="D51" s="40"/>
      <c r="E51" s="40"/>
      <c r="F51" s="12" t="s">
        <v>971</v>
      </c>
      <c r="G51" s="12">
        <f>40*2</f>
        <v>80</v>
      </c>
      <c r="H51" s="12">
        <f>G51*VLOOKUP(F51,商业化框架!$F$47:$H$136,3,0)</f>
        <v>80</v>
      </c>
      <c r="I51" s="12"/>
      <c r="J51" s="12"/>
      <c r="K51" s="12"/>
    </row>
    <row r="52" spans="4:12">
      <c r="D52" s="40"/>
      <c r="E52" s="40"/>
      <c r="F52" s="12" t="s">
        <v>998</v>
      </c>
      <c r="G52" s="12">
        <v>16</v>
      </c>
      <c r="H52" s="12">
        <f>G52*VLOOKUP(F52,商业化框架!$F$47:$H$136,3,0)</f>
        <v>48</v>
      </c>
      <c r="I52" s="12"/>
      <c r="J52" s="12"/>
      <c r="K52" s="12"/>
    </row>
    <row r="53" spans="4:12">
      <c r="D53" s="40"/>
      <c r="E53" s="40"/>
      <c r="F53" s="12" t="s">
        <v>1169</v>
      </c>
      <c r="G53" s="12">
        <v>6</v>
      </c>
      <c r="H53" s="12" t="e">
        <f>G53*VLOOKUP(F53,商业化框架!$F$47:$H$136,3,0)</f>
        <v>#N/A</v>
      </c>
      <c r="I53" s="12"/>
      <c r="J53" s="12"/>
      <c r="K53" s="12"/>
    </row>
    <row r="54" spans="4:12">
      <c r="D54" s="40"/>
      <c r="E54" s="40"/>
      <c r="F54" s="12"/>
      <c r="G54" s="12"/>
      <c r="H54" s="12"/>
      <c r="I54" s="12"/>
      <c r="J54" s="12"/>
      <c r="K54" s="12"/>
    </row>
    <row r="55" spans="4:12">
      <c r="D55" s="40"/>
      <c r="E55" s="40"/>
      <c r="F55" s="12" t="s">
        <v>1039</v>
      </c>
      <c r="G55" s="12">
        <v>10</v>
      </c>
      <c r="H55" s="12">
        <f>G55*VLOOKUP(F55,商业化框架!$F$47:$H$136,3,0)</f>
        <v>30</v>
      </c>
      <c r="I55" s="12"/>
      <c r="J55" s="12"/>
      <c r="K55" s="12"/>
    </row>
    <row r="56" spans="4:12">
      <c r="D56" s="40"/>
      <c r="E56" s="40"/>
      <c r="F56" s="12" t="s">
        <v>1017</v>
      </c>
      <c r="G56" s="12">
        <v>4</v>
      </c>
      <c r="H56" s="12">
        <f>G56*VLOOKUP(F56,商业化框架!$F$47:$H$136,3,0)</f>
        <v>20</v>
      </c>
      <c r="I56" s="12"/>
      <c r="J56" s="12"/>
      <c r="K56" s="12"/>
    </row>
    <row r="57" spans="4:12">
      <c r="D57" s="41"/>
      <c r="E57" s="41"/>
      <c r="F57" s="12" t="s">
        <v>1022</v>
      </c>
      <c r="G57" s="12">
        <f>2.4</f>
        <v>2.4</v>
      </c>
      <c r="H57" s="12">
        <f>G57*VLOOKUP(F57,商业化框架!$F$47:$H$136,3,0)</f>
        <v>38.4</v>
      </c>
      <c r="I57" s="12"/>
      <c r="J57" s="12"/>
      <c r="K57" s="12"/>
    </row>
    <row r="58" spans="4:12">
      <c r="D58" s="12">
        <v>4</v>
      </c>
      <c r="E58" s="12" t="s">
        <v>953</v>
      </c>
      <c r="F58" s="12" t="s">
        <v>975</v>
      </c>
      <c r="G58" s="12">
        <v>50</v>
      </c>
      <c r="H58" s="12">
        <f>G58*VLOOKUP(F58,商业化框架!$F$47:$H$136,3,0)</f>
        <v>1500</v>
      </c>
      <c r="I58" s="12">
        <f>H58</f>
        <v>1500</v>
      </c>
      <c r="J58" s="12">
        <v>750</v>
      </c>
      <c r="K58" s="38">
        <f>I58/J58</f>
        <v>2</v>
      </c>
      <c r="L58" s="17" t="s">
        <v>1170</v>
      </c>
    </row>
    <row r="59" spans="4:12">
      <c r="D59" s="12"/>
      <c r="E59" s="12"/>
      <c r="F59" s="12"/>
      <c r="G59" s="12"/>
      <c r="H59" s="12"/>
      <c r="I59" s="12"/>
      <c r="J59" s="12"/>
      <c r="K59" s="12"/>
    </row>
    <row r="60" spans="4:12">
      <c r="D60" s="12"/>
      <c r="E60" s="12"/>
      <c r="F60" s="12"/>
      <c r="G60" s="12"/>
      <c r="H60" s="12"/>
      <c r="I60" s="12"/>
      <c r="J60" s="12"/>
      <c r="K60" s="12"/>
    </row>
    <row r="61" spans="4:12">
      <c r="D61" s="12"/>
      <c r="E61" s="12"/>
      <c r="F61" s="12"/>
      <c r="G61" s="12"/>
      <c r="H61" s="12"/>
      <c r="I61" s="12"/>
      <c r="J61" s="12"/>
      <c r="K61" s="12"/>
    </row>
    <row r="62" spans="4:12">
      <c r="D62" s="42"/>
      <c r="E62" s="42"/>
      <c r="F62" s="42"/>
      <c r="G62" s="42"/>
      <c r="H62" s="42"/>
      <c r="I62" s="42"/>
      <c r="J62" s="42"/>
      <c r="K62" s="42"/>
    </row>
    <row r="63" spans="4:12">
      <c r="D63" s="42"/>
      <c r="E63" s="42"/>
      <c r="F63" s="42"/>
      <c r="G63" s="42"/>
      <c r="H63" s="42"/>
      <c r="I63" s="42"/>
      <c r="J63" s="42"/>
      <c r="K63" s="42"/>
    </row>
    <row r="64" spans="4:12">
      <c r="D64" s="42"/>
      <c r="E64" s="42"/>
      <c r="F64" s="42"/>
      <c r="G64" s="42"/>
      <c r="H64" s="42"/>
      <c r="I64" s="42"/>
      <c r="J64" s="42"/>
      <c r="K64" s="42"/>
    </row>
    <row r="65" spans="2:15">
      <c r="D65" s="42"/>
      <c r="E65" s="42"/>
      <c r="F65" s="42"/>
      <c r="G65" s="42"/>
      <c r="H65" s="42"/>
      <c r="I65" s="42"/>
      <c r="J65" s="42"/>
      <c r="K65" s="42"/>
    </row>
    <row r="67" spans="2:15">
      <c r="B67" s="18"/>
      <c r="C67" s="17" t="s">
        <v>1171</v>
      </c>
    </row>
    <row r="69" spans="2:15">
      <c r="L69" s="17" t="s">
        <v>1172</v>
      </c>
    </row>
    <row r="70" spans="2:15">
      <c r="D70" s="9" t="s">
        <v>1173</v>
      </c>
      <c r="E70" s="9" t="s">
        <v>1174</v>
      </c>
      <c r="F70" s="9" t="s">
        <v>1135</v>
      </c>
      <c r="G70" s="9" t="s">
        <v>1162</v>
      </c>
      <c r="H70" s="9" t="s">
        <v>637</v>
      </c>
      <c r="I70" s="9" t="s">
        <v>1163</v>
      </c>
      <c r="J70" s="9" t="s">
        <v>1093</v>
      </c>
      <c r="K70" s="9" t="s">
        <v>924</v>
      </c>
      <c r="L70" s="9" t="s">
        <v>544</v>
      </c>
      <c r="M70" s="9" t="s">
        <v>249</v>
      </c>
      <c r="N70" s="9" t="s">
        <v>371</v>
      </c>
      <c r="O70" s="9" t="s">
        <v>291</v>
      </c>
    </row>
    <row r="71" spans="2:15">
      <c r="D71" s="12">
        <v>1</v>
      </c>
      <c r="E71" s="12" t="s">
        <v>1138</v>
      </c>
      <c r="F71" s="12" t="s">
        <v>1112</v>
      </c>
      <c r="G71" s="12"/>
      <c r="H71" s="12"/>
      <c r="I71" s="12"/>
      <c r="J71" s="12"/>
      <c r="K71" s="38">
        <f>SUM(K72:K80)</f>
        <v>121.733333333333</v>
      </c>
      <c r="L71" s="12"/>
      <c r="M71" s="12"/>
      <c r="N71" s="12"/>
      <c r="O71" s="12"/>
    </row>
    <row r="72" spans="2:15">
      <c r="D72" s="12"/>
      <c r="E72" s="12"/>
      <c r="F72" s="12" t="s">
        <v>1057</v>
      </c>
      <c r="G72" s="12">
        <v>1</v>
      </c>
      <c r="H72" s="12">
        <f>VLOOKUP(F72,商业化框架!$F$47:$H$136,3,0)*G72</f>
        <v>4000</v>
      </c>
      <c r="I72" s="12">
        <f>SUM(H72:H75)</f>
        <v>5324</v>
      </c>
      <c r="J72" s="12">
        <v>60</v>
      </c>
      <c r="K72" s="38">
        <f>I72/J72</f>
        <v>88.7333333333333</v>
      </c>
      <c r="L72" s="12"/>
      <c r="M72" s="12"/>
      <c r="N72" s="12"/>
      <c r="O72" s="12"/>
    </row>
    <row r="73" spans="2:15">
      <c r="D73" s="12"/>
      <c r="E73" s="12"/>
      <c r="F73" s="12" t="s">
        <v>975</v>
      </c>
      <c r="G73" s="12">
        <v>10</v>
      </c>
      <c r="H73" s="12">
        <f>VLOOKUP(F73,商业化框架!$F$47:$H$136,3,0)*G73</f>
        <v>300</v>
      </c>
      <c r="I73" s="12"/>
      <c r="J73" s="12"/>
      <c r="K73" s="12"/>
      <c r="L73" s="38">
        <f>H73/(商业化框架!$I$15-商业化框架!$J$15)/60*2</f>
        <v>0.00111111111111111</v>
      </c>
      <c r="M73" s="12"/>
      <c r="N73" s="12"/>
      <c r="O73" s="12"/>
    </row>
    <row r="74" spans="2:15">
      <c r="D74" s="12"/>
      <c r="E74" s="12"/>
      <c r="F74" s="12" t="s">
        <v>1028</v>
      </c>
      <c r="G74" s="12">
        <v>1</v>
      </c>
      <c r="H74" s="12">
        <f>VLOOKUP(F74,商业化框架!$F$47:$H$136,3,0)*G74</f>
        <v>1024</v>
      </c>
      <c r="I74" s="12"/>
      <c r="J74" s="12"/>
      <c r="K74" s="12"/>
      <c r="L74" s="12"/>
      <c r="M74" s="12"/>
      <c r="N74" s="12"/>
      <c r="O74" s="12"/>
    </row>
    <row r="75" spans="2:15">
      <c r="D75" s="12"/>
      <c r="E75" s="12"/>
      <c r="F75" s="12"/>
      <c r="G75" s="12"/>
      <c r="H75" s="12"/>
      <c r="I75" s="12"/>
      <c r="J75" s="12"/>
      <c r="K75" s="12"/>
      <c r="L75" s="12"/>
      <c r="M75" s="12"/>
      <c r="N75" s="12"/>
      <c r="O75" s="12"/>
    </row>
    <row r="76" spans="2:15">
      <c r="D76" s="12"/>
      <c r="E76" s="12"/>
      <c r="F76" s="12" t="s">
        <v>975</v>
      </c>
      <c r="G76" s="12">
        <v>20</v>
      </c>
      <c r="H76" s="12">
        <f>VLOOKUP(F76,商业化框架!$F$47:$H$136,3,0)*G76</f>
        <v>600</v>
      </c>
      <c r="I76" s="12">
        <f>SUM(H76:H77)</f>
        <v>1100</v>
      </c>
      <c r="J76" s="12">
        <v>60</v>
      </c>
      <c r="K76" s="38">
        <f>I76/J76</f>
        <v>18.3333333333333</v>
      </c>
      <c r="L76" s="12"/>
      <c r="M76" s="12"/>
      <c r="N76" s="12"/>
      <c r="O76" s="12"/>
    </row>
    <row r="77" spans="2:15">
      <c r="D77" s="12"/>
      <c r="E77" s="12"/>
      <c r="F77" s="12" t="s">
        <v>971</v>
      </c>
      <c r="G77" s="12">
        <v>500</v>
      </c>
      <c r="H77" s="12">
        <f>VLOOKUP(F77,商业化框架!$F$47:$H$136,3,0)*G77</f>
        <v>500</v>
      </c>
      <c r="I77" s="12"/>
      <c r="J77" s="12"/>
      <c r="K77" s="12"/>
      <c r="L77" s="12"/>
      <c r="M77" s="12"/>
      <c r="N77" s="12"/>
      <c r="O77" s="12"/>
    </row>
    <row r="78" spans="2:15">
      <c r="D78" s="12"/>
      <c r="E78" s="12"/>
      <c r="F78" s="12"/>
      <c r="G78" s="12"/>
      <c r="H78" s="12"/>
      <c r="I78" s="12"/>
      <c r="J78" s="12"/>
      <c r="K78" s="12"/>
      <c r="L78" s="12"/>
      <c r="M78" s="12"/>
      <c r="N78" s="12"/>
      <c r="O78" s="12"/>
    </row>
    <row r="79" spans="2:15">
      <c r="D79" s="12"/>
      <c r="E79" s="12"/>
      <c r="F79" s="12" t="s">
        <v>987</v>
      </c>
      <c r="G79" s="12">
        <v>1</v>
      </c>
      <c r="H79" s="12">
        <f>VLOOKUP(F79,商业化框架!$F$47:$H$136,3,0)*G79</f>
        <v>80</v>
      </c>
      <c r="I79" s="12">
        <f>SUM(H79:H80)</f>
        <v>880</v>
      </c>
      <c r="J79" s="12">
        <v>60</v>
      </c>
      <c r="K79" s="38">
        <f>I79/J79</f>
        <v>14.6666666666667</v>
      </c>
      <c r="L79" s="12"/>
      <c r="M79" s="12"/>
      <c r="N79" s="12"/>
      <c r="O79" s="12"/>
    </row>
    <row r="80" spans="2:15">
      <c r="D80" s="12"/>
      <c r="E80" s="12"/>
      <c r="F80" s="12" t="s">
        <v>971</v>
      </c>
      <c r="G80" s="12">
        <v>800</v>
      </c>
      <c r="H80" s="12">
        <f>VLOOKUP(F80,商业化框架!$F$47:$H$136,3,0)*G80</f>
        <v>800</v>
      </c>
      <c r="I80" s="12"/>
      <c r="J80" s="12"/>
      <c r="K80" s="12"/>
      <c r="L80" s="12"/>
      <c r="M80" s="12"/>
      <c r="N80" s="12"/>
      <c r="O80" s="12"/>
    </row>
    <row r="81" spans="4:15">
      <c r="D81" s="12">
        <v>2</v>
      </c>
      <c r="E81" s="12" t="s">
        <v>804</v>
      </c>
      <c r="F81" s="12" t="s">
        <v>975</v>
      </c>
      <c r="G81" s="12">
        <v>5</v>
      </c>
      <c r="H81" s="12">
        <f>VLOOKUP(F81,商业化框架!$F$47:$H$136,3,0)*G81</f>
        <v>150</v>
      </c>
      <c r="I81" s="12">
        <f>SUM(H81:H83)</f>
        <v>2130</v>
      </c>
      <c r="J81" s="12">
        <v>180</v>
      </c>
      <c r="K81" s="38">
        <f>I81/J81</f>
        <v>11.8333333333333</v>
      </c>
      <c r="L81" s="12"/>
      <c r="M81" s="12"/>
      <c r="N81" s="12"/>
      <c r="O81" s="12"/>
    </row>
    <row r="82" spans="4:15">
      <c r="D82" s="12"/>
      <c r="E82" s="12"/>
      <c r="F82" s="12" t="s">
        <v>953</v>
      </c>
      <c r="G82" s="12">
        <f>180+60*30</f>
        <v>1980</v>
      </c>
      <c r="H82" s="12">
        <f>VLOOKUP(F82,商业化框架!$F$47:$H$136,3,0)*G82</f>
        <v>1980</v>
      </c>
      <c r="I82" s="12"/>
      <c r="J82" s="12"/>
      <c r="K82" s="12"/>
      <c r="L82" s="12"/>
      <c r="M82" s="12"/>
      <c r="N82" s="12"/>
      <c r="O82" s="12"/>
    </row>
    <row r="83" spans="4:15">
      <c r="D83" s="12"/>
      <c r="E83" s="12"/>
      <c r="F83" s="12" t="s">
        <v>1175</v>
      </c>
      <c r="G83" s="12"/>
      <c r="H83" s="12"/>
      <c r="I83" s="12"/>
      <c r="J83" s="12"/>
      <c r="K83" s="12"/>
      <c r="L83" s="12"/>
      <c r="M83" s="12"/>
      <c r="N83" s="12"/>
      <c r="O83" s="12"/>
    </row>
    <row r="84" spans="4:15">
      <c r="D84" s="12"/>
      <c r="E84" s="12"/>
      <c r="F84" s="12" t="s">
        <v>1176</v>
      </c>
      <c r="G84" s="12"/>
      <c r="H84" s="12"/>
      <c r="I84" s="12"/>
      <c r="J84" s="12"/>
      <c r="K84" s="12"/>
      <c r="L84" s="12"/>
      <c r="M84" s="12"/>
      <c r="N84" s="12"/>
      <c r="O84" s="12"/>
    </row>
    <row r="85" spans="4:15">
      <c r="D85" s="12"/>
      <c r="E85" s="12"/>
      <c r="F85" s="12"/>
      <c r="G85" s="12"/>
      <c r="H85" s="12"/>
      <c r="I85" s="12"/>
      <c r="J85" s="12"/>
      <c r="K85" s="12"/>
      <c r="L85" s="12"/>
      <c r="M85" s="12"/>
      <c r="N85" s="12"/>
      <c r="O85" s="12"/>
    </row>
    <row r="86" spans="4:15">
      <c r="D86" s="39">
        <v>3</v>
      </c>
      <c r="E86" s="12" t="s">
        <v>805</v>
      </c>
      <c r="F86" s="12" t="s">
        <v>953</v>
      </c>
      <c r="G86" s="12">
        <f>300+100*30</f>
        <v>3300</v>
      </c>
      <c r="H86" s="12">
        <f>VLOOKUP(F86,商业化框架!$F$47:$H$136,3,0)*G86</f>
        <v>3300</v>
      </c>
      <c r="I86" s="12">
        <f>SUM(H86:H87)+H88</f>
        <v>16239</v>
      </c>
      <c r="J86" s="12">
        <v>300</v>
      </c>
      <c r="K86" s="38">
        <f>I86/J86</f>
        <v>54.13</v>
      </c>
      <c r="L86" s="12"/>
      <c r="M86" s="12"/>
      <c r="N86" s="12"/>
      <c r="O86" s="12"/>
    </row>
    <row r="87" spans="4:15">
      <c r="D87" s="40"/>
      <c r="E87" s="12"/>
      <c r="F87" s="12" t="s">
        <v>958</v>
      </c>
      <c r="G87" s="12">
        <f>10*30</f>
        <v>300</v>
      </c>
      <c r="H87" s="12">
        <f>VLOOKUP(F87,商业化框架!$F$47:$H$136,3,0)*G87</f>
        <v>600</v>
      </c>
      <c r="I87" s="12"/>
      <c r="J87" s="12"/>
      <c r="K87" s="12"/>
      <c r="L87" s="12"/>
      <c r="M87" s="12"/>
      <c r="N87" s="12"/>
      <c r="O87" s="12"/>
    </row>
    <row r="88" spans="4:15">
      <c r="D88" s="40"/>
      <c r="E88" s="12"/>
      <c r="F88" s="12" t="s">
        <v>1177</v>
      </c>
      <c r="G88" s="12">
        <f>I41*24*30</f>
        <v>0</v>
      </c>
      <c r="H88" s="12">
        <f>I44*0.15*30*24</f>
        <v>12339</v>
      </c>
      <c r="I88" s="12"/>
      <c r="J88" s="12"/>
      <c r="K88" s="12"/>
      <c r="L88" s="12"/>
      <c r="M88" s="12"/>
      <c r="N88" s="12"/>
      <c r="O88" s="12"/>
    </row>
    <row r="89" spans="4:15">
      <c r="D89" s="40"/>
      <c r="E89" s="12"/>
      <c r="F89" s="12" t="s">
        <v>1178</v>
      </c>
      <c r="G89" s="12"/>
      <c r="H89" s="12"/>
      <c r="I89" s="12"/>
      <c r="J89" s="12"/>
      <c r="K89" s="12"/>
      <c r="L89" s="12"/>
      <c r="M89" s="12"/>
      <c r="N89" s="12"/>
      <c r="O89" s="12"/>
    </row>
    <row r="90" spans="4:15">
      <c r="D90" s="40"/>
      <c r="E90" s="12"/>
      <c r="F90" s="12" t="s">
        <v>1179</v>
      </c>
      <c r="G90" s="12"/>
      <c r="H90" s="12"/>
      <c r="I90" s="12"/>
      <c r="J90" s="12"/>
      <c r="K90" s="12"/>
      <c r="L90" s="12"/>
      <c r="M90" s="12"/>
      <c r="N90" s="12"/>
      <c r="O90" s="12"/>
    </row>
    <row r="91" spans="4:15">
      <c r="D91" s="40"/>
      <c r="E91" s="12"/>
      <c r="F91" s="12" t="s">
        <v>1180</v>
      </c>
      <c r="G91" s="12"/>
      <c r="H91" s="12"/>
      <c r="I91" s="12"/>
      <c r="J91" s="12"/>
      <c r="K91" s="12"/>
      <c r="L91" s="12"/>
      <c r="M91" s="12"/>
      <c r="N91" s="12"/>
      <c r="O91" s="12"/>
    </row>
    <row r="92" spans="4:15">
      <c r="D92" s="40"/>
      <c r="E92" s="12" t="s">
        <v>1181</v>
      </c>
      <c r="F92" s="12" t="s">
        <v>975</v>
      </c>
      <c r="G92" s="12">
        <v>20</v>
      </c>
      <c r="H92" s="12">
        <f>VLOOKUP(F92,商业化框架!$F$47:$H$136,3,0)*G92</f>
        <v>600</v>
      </c>
      <c r="I92" s="12">
        <f>SUM(H92:H93)</f>
        <v>880</v>
      </c>
      <c r="J92" s="12">
        <v>480</v>
      </c>
      <c r="K92" s="38">
        <f>I92/J92</f>
        <v>1.83333333333333</v>
      </c>
      <c r="L92" s="12"/>
      <c r="M92" s="12"/>
      <c r="N92" s="12"/>
      <c r="O92" s="12"/>
    </row>
    <row r="93" spans="4:15">
      <c r="D93" s="41"/>
      <c r="E93" s="12"/>
      <c r="F93" s="12" t="s">
        <v>1015</v>
      </c>
      <c r="G93" s="12">
        <v>1</v>
      </c>
      <c r="H93" s="12">
        <f>VLOOKUP(F93,商业化框架!$F$47:$H$136,3,0)*G93</f>
        <v>280</v>
      </c>
      <c r="I93" s="12"/>
      <c r="J93" s="12"/>
      <c r="K93" s="12"/>
      <c r="L93" s="12"/>
      <c r="M93" s="12"/>
      <c r="N93" s="12"/>
      <c r="O93" s="12"/>
    </row>
    <row r="94" spans="4:15">
      <c r="D94" s="12">
        <v>4</v>
      </c>
      <c r="E94" s="12" t="s">
        <v>1182</v>
      </c>
      <c r="F94" s="12" t="s">
        <v>953</v>
      </c>
      <c r="G94" s="12">
        <v>980</v>
      </c>
      <c r="H94" s="12">
        <f>VLOOKUP(F94,商业化框架!$F$47:$H$136,3,0)*G94</f>
        <v>980</v>
      </c>
      <c r="I94" s="12">
        <f>SUM(H94:H97)</f>
        <v>13520</v>
      </c>
      <c r="J94" s="12">
        <v>680</v>
      </c>
      <c r="K94" s="38">
        <f>I94/J94</f>
        <v>19.8823529411765</v>
      </c>
      <c r="L94" s="12"/>
      <c r="M94" s="12"/>
      <c r="N94" s="12"/>
      <c r="O94" s="12"/>
    </row>
    <row r="95" spans="4:15">
      <c r="D95" s="12"/>
      <c r="E95" s="12"/>
      <c r="F95" s="12" t="s">
        <v>975</v>
      </c>
      <c r="G95" s="12">
        <v>250</v>
      </c>
      <c r="H95" s="12">
        <f>VLOOKUP(F95,商业化框架!$F$47:$H$136,3,0)*G95</f>
        <v>7500</v>
      </c>
      <c r="I95" s="12"/>
      <c r="J95" s="12"/>
      <c r="K95" s="12"/>
      <c r="L95" s="38">
        <f>H95/(商业化框架!$I$15-商业化框架!$J$15)*2/60*4</f>
        <v>0.111111111111111</v>
      </c>
      <c r="M95" s="12"/>
      <c r="N95" s="12"/>
      <c r="O95" s="12"/>
    </row>
    <row r="96" spans="4:15">
      <c r="D96" s="12"/>
      <c r="E96" s="12"/>
      <c r="F96" s="12" t="s">
        <v>1015</v>
      </c>
      <c r="G96" s="12">
        <v>18</v>
      </c>
      <c r="H96" s="12">
        <f>VLOOKUP(F96,商业化框架!$F$47:$H$136,3,0)*G96</f>
        <v>5040</v>
      </c>
      <c r="I96" s="12"/>
      <c r="J96" s="12"/>
      <c r="K96" s="12"/>
      <c r="L96" s="12"/>
      <c r="M96" s="12"/>
      <c r="N96" s="12"/>
      <c r="O96" s="12"/>
    </row>
    <row r="97" spans="2:15">
      <c r="D97" s="12"/>
      <c r="E97" s="12"/>
      <c r="F97" s="12"/>
      <c r="G97" s="12"/>
      <c r="H97" s="12"/>
      <c r="I97" s="12"/>
      <c r="J97" s="12"/>
      <c r="K97" s="12"/>
      <c r="L97" s="12"/>
      <c r="M97" s="12"/>
      <c r="N97" s="12"/>
      <c r="O97" s="12"/>
    </row>
    <row r="98" spans="2:15">
      <c r="D98" s="12">
        <v>5</v>
      </c>
      <c r="E98" s="12" t="s">
        <v>1183</v>
      </c>
      <c r="F98" s="12" t="s">
        <v>953</v>
      </c>
      <c r="G98" s="12">
        <v>14940</v>
      </c>
      <c r="H98" s="12">
        <f>VLOOKUP(F98,商业化框架!$F$47:$H$136,3,0)*G98</f>
        <v>14940</v>
      </c>
      <c r="I98" s="12">
        <f>SUM(H98:H99)</f>
        <v>14940</v>
      </c>
      <c r="J98" s="12">
        <v>980</v>
      </c>
      <c r="K98" s="38">
        <f>I98/J98</f>
        <v>15.2448979591837</v>
      </c>
      <c r="L98" s="12"/>
      <c r="M98" s="12"/>
      <c r="N98" s="12"/>
      <c r="O98" s="12"/>
    </row>
    <row r="99" spans="2:15">
      <c r="D99" s="12"/>
      <c r="E99" s="12"/>
      <c r="F99" s="12"/>
      <c r="G99" s="12"/>
      <c r="H99" s="12"/>
      <c r="I99" s="12"/>
      <c r="J99" s="12"/>
      <c r="K99" s="12"/>
      <c r="L99" s="12"/>
      <c r="M99" s="12"/>
      <c r="N99" s="12"/>
      <c r="O99" s="12"/>
    </row>
    <row r="101" spans="2:15">
      <c r="B101" s="18"/>
      <c r="C101" s="17" t="s">
        <v>1184</v>
      </c>
    </row>
    <row r="103" spans="2:15">
      <c r="D103" s="12">
        <v>5</v>
      </c>
      <c r="E103" s="12" t="s">
        <v>1185</v>
      </c>
      <c r="F103" s="12" t="s">
        <v>1053</v>
      </c>
      <c r="G103" s="12">
        <v>5</v>
      </c>
      <c r="H103" s="12">
        <f>VLOOKUP(F103,商业化框架!$F$47:$H$136,3,0)*G103</f>
        <v>500</v>
      </c>
      <c r="I103" s="12">
        <f>SUM(H103:H104)</f>
        <v>560</v>
      </c>
      <c r="J103" s="12">
        <v>60</v>
      </c>
      <c r="K103" s="38">
        <f>I103/J103</f>
        <v>9.33333333333333</v>
      </c>
      <c r="L103" s="12"/>
      <c r="M103" s="12"/>
      <c r="N103" s="12"/>
      <c r="O103" s="12"/>
    </row>
    <row r="104" spans="2:15">
      <c r="D104" s="12"/>
      <c r="E104" s="12"/>
      <c r="F104" s="12" t="s">
        <v>953</v>
      </c>
      <c r="G104" s="12">
        <v>60</v>
      </c>
      <c r="H104" s="12">
        <f>VLOOKUP(F104,商业化框架!$F$47:$H$136,3,0)*G104</f>
        <v>60</v>
      </c>
      <c r="I104" s="12"/>
      <c r="J104" s="12"/>
      <c r="K104" s="12"/>
      <c r="L104" s="12"/>
      <c r="M104" s="12"/>
      <c r="N104" s="12"/>
      <c r="O104" s="12"/>
    </row>
    <row r="105" spans="2:15">
      <c r="D105" s="12">
        <v>5</v>
      </c>
      <c r="E105" s="12" t="s">
        <v>1186</v>
      </c>
      <c r="F105" s="12" t="s">
        <v>1053</v>
      </c>
      <c r="G105" s="12">
        <v>15</v>
      </c>
      <c r="H105" s="12">
        <f>VLOOKUP(F105,商业化框架!$F$47:$H$136,3,0)*G105</f>
        <v>1500</v>
      </c>
      <c r="I105" s="12">
        <f>SUM(H105:H106)</f>
        <v>1800</v>
      </c>
      <c r="J105" s="12">
        <v>300</v>
      </c>
      <c r="K105" s="38">
        <f>I105/J105</f>
        <v>6</v>
      </c>
      <c r="L105" s="12"/>
      <c r="M105" s="12"/>
      <c r="N105" s="12"/>
      <c r="O105" s="12"/>
    </row>
    <row r="106" spans="2:15">
      <c r="D106" s="12"/>
      <c r="E106" s="12"/>
      <c r="F106" s="12" t="s">
        <v>953</v>
      </c>
      <c r="G106" s="12">
        <v>300</v>
      </c>
      <c r="H106" s="12">
        <f>VLOOKUP(F106,商业化框架!$F$47:$H$136,3,0)*G106</f>
        <v>300</v>
      </c>
      <c r="I106" s="12"/>
      <c r="J106" s="12"/>
      <c r="K106" s="12"/>
      <c r="L106" s="12"/>
      <c r="M106" s="12"/>
      <c r="N106" s="12"/>
      <c r="O106" s="12"/>
    </row>
  </sheetData>
  <mergeCells count="38">
    <mergeCell ref="K4:Q4"/>
    <mergeCell ref="S4:U4"/>
    <mergeCell ref="V4:Y4"/>
    <mergeCell ref="D4:D6"/>
    <mergeCell ref="D8:D12"/>
    <mergeCell ref="D13:D16"/>
    <mergeCell ref="D17:D19"/>
    <mergeCell ref="D27:D34"/>
    <mergeCell ref="D35:D43"/>
    <mergeCell ref="D44:D49"/>
    <mergeCell ref="D50:D57"/>
    <mergeCell ref="D58:D61"/>
    <mergeCell ref="D71:D80"/>
    <mergeCell ref="D81:D85"/>
    <mergeCell ref="D86:D93"/>
    <mergeCell ref="D94:D97"/>
    <mergeCell ref="D98:D99"/>
    <mergeCell ref="D103:D104"/>
    <mergeCell ref="D105:D106"/>
    <mergeCell ref="E4:E6"/>
    <mergeCell ref="E27:E34"/>
    <mergeCell ref="E35:E43"/>
    <mergeCell ref="E44:E49"/>
    <mergeCell ref="E50:E57"/>
    <mergeCell ref="E58:E61"/>
    <mergeCell ref="E71:E80"/>
    <mergeCell ref="E81:E85"/>
    <mergeCell ref="E86:E91"/>
    <mergeCell ref="E92:E93"/>
    <mergeCell ref="E94:E97"/>
    <mergeCell ref="E98:E99"/>
    <mergeCell ref="E103:E104"/>
    <mergeCell ref="E105:E106"/>
    <mergeCell ref="F4:F6"/>
    <mergeCell ref="G4:G6"/>
    <mergeCell ref="H4:H6"/>
    <mergeCell ref="I4:I6"/>
    <mergeCell ref="J4:J6"/>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B1:Q599"/>
  <sheetViews>
    <sheetView topLeftCell="C46" workbookViewId="0">
      <selection activeCell="H38" sqref="H38"/>
    </sheetView>
  </sheetViews>
  <sheetFormatPr defaultColWidth="10.2857142857143" defaultRowHeight="12.75"/>
  <cols>
    <col min="2" max="2" width="2.71428571428571" customWidth="1"/>
    <col min="4" max="4" width="16.2857142857143" customWidth="1"/>
    <col min="5" max="5" width="13.1428571428571" customWidth="1"/>
    <col min="6" max="6" width="18" customWidth="1"/>
    <col min="7" max="7" width="22.1428571428571" customWidth="1"/>
    <col min="8" max="8" width="18" customWidth="1"/>
    <col min="9" max="10" width="22.1428571428571" customWidth="1"/>
    <col min="11" max="11" width="26.4285714285714" customWidth="1"/>
    <col min="12" max="12" width="13" customWidth="1"/>
    <col min="13" max="13" width="22.1428571428571" customWidth="1"/>
    <col min="14" max="14" width="26.4285714285714" customWidth="1"/>
    <col min="15" max="17" width="13" customWidth="1"/>
    <col min="18" max="21" width="9.71428571428571" customWidth="1"/>
  </cols>
  <sheetData>
    <row r="1" spans="2:17">
      <c r="B1" s="6"/>
      <c r="C1" t="s">
        <v>9</v>
      </c>
    </row>
    <row r="2" spans="2:17">
      <c r="D2">
        <v>1</v>
      </c>
      <c r="E2" t="s">
        <v>1187</v>
      </c>
    </row>
    <row r="3" spans="2:17">
      <c r="D3">
        <v>2</v>
      </c>
      <c r="E3" t="s">
        <v>1188</v>
      </c>
    </row>
    <row r="4" spans="2:17">
      <c r="D4">
        <v>3</v>
      </c>
      <c r="E4" t="s">
        <v>1189</v>
      </c>
    </row>
    <row r="5" spans="2:17">
      <c r="D5">
        <v>4</v>
      </c>
      <c r="E5" t="s">
        <v>1190</v>
      </c>
    </row>
    <row r="6" spans="2:17">
      <c r="D6">
        <v>5</v>
      </c>
      <c r="E6" t="s">
        <v>1191</v>
      </c>
    </row>
    <row r="7" spans="2:17">
      <c r="D7">
        <v>6</v>
      </c>
      <c r="E7" t="s">
        <v>1192</v>
      </c>
    </row>
    <row r="8" spans="2:17">
      <c r="D8">
        <v>7</v>
      </c>
      <c r="E8" t="s">
        <v>1193</v>
      </c>
    </row>
    <row r="11" spans="2:17">
      <c r="B11" s="6"/>
      <c r="C11" t="s">
        <v>1194</v>
      </c>
    </row>
    <row r="12" spans="2:17">
      <c r="J12" s="7"/>
      <c r="K12" s="7"/>
      <c r="L12" s="8"/>
    </row>
    <row r="13" spans="2:17">
      <c r="D13" t="s">
        <v>1195</v>
      </c>
      <c r="J13" s="8"/>
      <c r="K13" s="8"/>
      <c r="L13" s="8"/>
    </row>
    <row r="14" spans="2:17">
      <c r="J14" s="8"/>
      <c r="K14" s="8"/>
      <c r="L14" s="8"/>
    </row>
    <row r="15" spans="2:17">
      <c r="D15" s="9" t="s">
        <v>1196</v>
      </c>
      <c r="E15" s="9" t="s">
        <v>1197</v>
      </c>
      <c r="F15" s="9" t="s">
        <v>1198</v>
      </c>
      <c r="G15" s="10" t="s">
        <v>1199</v>
      </c>
      <c r="H15" s="10" t="s">
        <v>875</v>
      </c>
      <c r="I15" s="10" t="s">
        <v>1165</v>
      </c>
      <c r="J15" s="10" t="s">
        <v>1200</v>
      </c>
      <c r="K15" s="10" t="s">
        <v>1201</v>
      </c>
      <c r="L15" s="10" t="s">
        <v>1202</v>
      </c>
      <c r="M15" s="10" t="s">
        <v>1203</v>
      </c>
      <c r="N15" s="10" t="s">
        <v>1204</v>
      </c>
      <c r="O15" s="10" t="s">
        <v>1205</v>
      </c>
      <c r="P15" s="10" t="s">
        <v>1206</v>
      </c>
      <c r="Q15" s="10" t="s">
        <v>789</v>
      </c>
    </row>
    <row r="16" ht="14.25" spans="2:17">
      <c r="D16" s="11" t="s">
        <v>260</v>
      </c>
      <c r="E16" s="12">
        <v>1</v>
      </c>
      <c r="F16" s="12"/>
      <c r="G16" s="13"/>
      <c r="H16" s="13"/>
      <c r="I16" s="13"/>
      <c r="J16" s="13"/>
      <c r="K16" s="13"/>
      <c r="L16" s="13"/>
      <c r="M16" s="13"/>
      <c r="N16" s="13"/>
      <c r="O16" s="13"/>
      <c r="P16" s="13"/>
      <c r="Q16" s="13"/>
    </row>
    <row r="17" ht="14.25" spans="4:17">
      <c r="D17" s="11" t="s">
        <v>755</v>
      </c>
      <c r="E17" s="12">
        <v>8</v>
      </c>
      <c r="F17" s="12"/>
      <c r="G17" s="13"/>
      <c r="H17" s="13"/>
      <c r="I17" s="13"/>
      <c r="J17" s="13"/>
      <c r="K17" s="13"/>
      <c r="L17" s="13"/>
      <c r="M17" s="13"/>
      <c r="N17" s="13"/>
      <c r="O17" s="13"/>
      <c r="P17" s="13"/>
      <c r="Q17" s="13"/>
    </row>
    <row r="18" ht="14.25" spans="4:17">
      <c r="D18" s="11" t="s">
        <v>971</v>
      </c>
      <c r="E18" s="12">
        <v>8</v>
      </c>
      <c r="F18" s="12"/>
      <c r="G18" s="13"/>
      <c r="H18" s="13"/>
      <c r="I18" s="13"/>
      <c r="J18" s="13"/>
      <c r="K18" s="13"/>
      <c r="L18" s="13"/>
      <c r="M18" s="13"/>
      <c r="N18" s="13"/>
      <c r="O18" s="13"/>
      <c r="P18" s="13"/>
      <c r="Q18" s="13"/>
    </row>
    <row r="19" ht="14.25" spans="4:17">
      <c r="D19" s="11" t="s">
        <v>1207</v>
      </c>
      <c r="E19" s="12">
        <v>10</v>
      </c>
      <c r="F19" s="12"/>
      <c r="G19" s="13"/>
      <c r="H19" s="13"/>
      <c r="I19" s="13"/>
      <c r="J19" s="13"/>
      <c r="K19" s="13"/>
      <c r="L19" s="13"/>
      <c r="M19" s="13"/>
      <c r="N19" s="13"/>
      <c r="O19" s="13"/>
      <c r="P19" s="13"/>
      <c r="Q19" s="13"/>
    </row>
    <row r="20" ht="14.25" spans="4:17">
      <c r="D20" s="11" t="s">
        <v>1208</v>
      </c>
      <c r="E20" s="12">
        <v>20</v>
      </c>
      <c r="F20" s="12"/>
      <c r="G20" s="13"/>
      <c r="H20" s="13"/>
      <c r="I20" s="13"/>
      <c r="J20" s="13"/>
      <c r="K20" s="13"/>
      <c r="L20" s="13"/>
      <c r="M20" s="13"/>
      <c r="N20" s="13"/>
      <c r="O20" s="13"/>
      <c r="P20" s="13"/>
      <c r="Q20" s="13"/>
    </row>
    <row r="21" ht="14.25" spans="4:17">
      <c r="D21" s="11" t="s">
        <v>1209</v>
      </c>
      <c r="E21" s="12">
        <v>40</v>
      </c>
      <c r="F21" s="12"/>
      <c r="G21" s="13"/>
      <c r="H21" s="13"/>
      <c r="I21" s="13"/>
      <c r="J21" s="13"/>
      <c r="K21" s="13"/>
      <c r="L21" s="13"/>
      <c r="M21" s="13"/>
      <c r="N21" s="13"/>
      <c r="O21" s="13"/>
      <c r="P21" s="13"/>
      <c r="Q21" s="13"/>
    </row>
    <row r="22" ht="14.25" spans="4:17">
      <c r="D22" s="11" t="s">
        <v>1210</v>
      </c>
      <c r="E22" s="12"/>
      <c r="F22" s="12"/>
      <c r="G22" s="13"/>
      <c r="H22" s="13"/>
      <c r="I22" s="13"/>
      <c r="J22" s="13"/>
      <c r="K22" s="13"/>
      <c r="L22" s="13"/>
      <c r="M22" s="13"/>
      <c r="N22" s="13"/>
      <c r="O22" s="13"/>
      <c r="P22" s="13"/>
      <c r="Q22" s="13"/>
    </row>
    <row r="23" ht="14.25" spans="4:17">
      <c r="D23" s="11" t="s">
        <v>1211</v>
      </c>
      <c r="E23" s="12">
        <f>商业化框架!$H$63</f>
        <v>20</v>
      </c>
      <c r="F23" s="12"/>
      <c r="G23" s="13"/>
      <c r="H23" s="13"/>
      <c r="I23" s="13"/>
      <c r="J23" s="13"/>
      <c r="K23" s="13"/>
      <c r="L23" s="13"/>
      <c r="M23" s="13"/>
      <c r="N23" s="13"/>
      <c r="O23" s="13"/>
      <c r="P23" s="13"/>
      <c r="Q23" s="13"/>
    </row>
    <row r="24" ht="14.25" spans="4:17">
      <c r="D24" s="11" t="s">
        <v>1212</v>
      </c>
      <c r="E24" s="12"/>
      <c r="F24" s="12"/>
      <c r="G24" s="13"/>
      <c r="H24" s="13"/>
      <c r="I24" s="13"/>
      <c r="J24" s="13"/>
      <c r="K24" s="13"/>
      <c r="L24" s="13"/>
      <c r="M24" s="13"/>
      <c r="N24" s="13"/>
      <c r="O24" s="13"/>
      <c r="P24" s="13"/>
      <c r="Q24" s="13"/>
    </row>
    <row r="25" ht="14.25" spans="4:17">
      <c r="D25" s="11" t="s">
        <v>1213</v>
      </c>
      <c r="E25" s="12"/>
      <c r="F25" s="12"/>
      <c r="G25" s="13"/>
      <c r="H25" s="13"/>
      <c r="I25" s="13"/>
      <c r="J25" s="13"/>
      <c r="K25" s="13"/>
      <c r="L25" s="13"/>
      <c r="M25" s="13"/>
      <c r="N25" s="13"/>
      <c r="O25" s="13"/>
      <c r="P25" s="13"/>
      <c r="Q25" s="13"/>
    </row>
    <row r="26" ht="14.25" spans="4:17">
      <c r="D26" s="11" t="s">
        <v>1214</v>
      </c>
      <c r="E26" s="12"/>
      <c r="F26" s="12"/>
      <c r="G26" s="13"/>
      <c r="H26" s="13"/>
      <c r="I26" s="13"/>
      <c r="J26" s="13"/>
      <c r="K26" s="13"/>
      <c r="L26" s="13"/>
      <c r="M26" s="13"/>
      <c r="N26" s="13"/>
      <c r="O26" s="13"/>
      <c r="P26" s="13"/>
      <c r="Q26" s="13"/>
    </row>
    <row r="27" ht="14.25" spans="4:17">
      <c r="D27" s="11" t="s">
        <v>1215</v>
      </c>
      <c r="E27" s="12">
        <v>2.5</v>
      </c>
      <c r="F27" s="12"/>
      <c r="G27" s="13"/>
      <c r="H27" s="13"/>
      <c r="I27" s="13"/>
      <c r="J27" s="13"/>
      <c r="K27" s="13"/>
      <c r="L27" s="13"/>
      <c r="M27" s="13"/>
      <c r="N27" s="13"/>
      <c r="O27" s="13"/>
      <c r="P27" s="13"/>
      <c r="Q27" s="13"/>
    </row>
    <row r="28" ht="14.25" spans="4:17">
      <c r="D28" s="11" t="s">
        <v>1216</v>
      </c>
      <c r="E28" s="12">
        <v>100</v>
      </c>
      <c r="F28" s="14"/>
      <c r="G28" s="13"/>
      <c r="H28" s="13"/>
      <c r="I28" s="13"/>
      <c r="J28" s="13"/>
      <c r="K28" s="13"/>
      <c r="L28" s="13"/>
      <c r="M28" s="13"/>
      <c r="N28" s="13"/>
      <c r="O28" s="13"/>
      <c r="P28" s="13"/>
      <c r="Q28" s="13"/>
    </row>
    <row r="29" ht="14.25" spans="4:17">
      <c r="D29" s="11" t="s">
        <v>1217</v>
      </c>
      <c r="E29" s="12">
        <v>10</v>
      </c>
      <c r="F29" s="12"/>
      <c r="G29" s="13"/>
      <c r="H29" s="13"/>
      <c r="I29" s="13"/>
      <c r="J29" s="13"/>
      <c r="K29" s="13"/>
      <c r="L29" s="13"/>
      <c r="M29" s="13"/>
      <c r="N29" s="13"/>
      <c r="O29" s="13"/>
      <c r="P29" s="13"/>
      <c r="Q29" s="13"/>
    </row>
    <row r="30" ht="14.25" spans="4:17">
      <c r="D30" s="11" t="s">
        <v>1218</v>
      </c>
      <c r="E30" s="12">
        <f t="shared" ref="E30:E35" si="0">E29*5</f>
        <v>50</v>
      </c>
      <c r="F30" s="12"/>
      <c r="G30" s="13"/>
      <c r="H30" s="13"/>
      <c r="I30" s="13"/>
      <c r="J30" s="13"/>
      <c r="K30" s="13"/>
      <c r="L30" s="13"/>
      <c r="M30" s="13"/>
      <c r="N30" s="13"/>
      <c r="O30" s="13"/>
      <c r="P30" s="13"/>
      <c r="Q30" s="13"/>
    </row>
    <row r="31" ht="14.25" spans="4:17">
      <c r="D31" s="11" t="s">
        <v>1219</v>
      </c>
      <c r="E31" s="12">
        <f t="shared" si="0"/>
        <v>250</v>
      </c>
      <c r="F31" s="12"/>
      <c r="G31" s="13"/>
      <c r="H31" s="13"/>
      <c r="I31" s="13"/>
      <c r="J31" s="13"/>
      <c r="K31" s="13"/>
      <c r="L31" s="13"/>
      <c r="M31" s="13"/>
      <c r="N31" s="13"/>
      <c r="O31" s="13"/>
      <c r="P31" s="13"/>
      <c r="Q31" s="13"/>
    </row>
    <row r="32" ht="14.25" spans="4:17">
      <c r="D32" s="11" t="s">
        <v>1220</v>
      </c>
      <c r="E32" s="12">
        <f t="shared" si="0"/>
        <v>1250</v>
      </c>
      <c r="F32" s="12"/>
      <c r="G32" s="13"/>
      <c r="H32" s="13"/>
      <c r="I32" s="13"/>
      <c r="J32" s="13"/>
      <c r="K32" s="13"/>
      <c r="L32" s="13"/>
      <c r="M32" s="13"/>
      <c r="N32" s="13"/>
      <c r="O32" s="13"/>
      <c r="P32" s="13"/>
      <c r="Q32" s="13"/>
    </row>
    <row r="33" ht="14.25" spans="2:17">
      <c r="D33" s="11" t="s">
        <v>1221</v>
      </c>
      <c r="E33" s="12">
        <f t="shared" si="0"/>
        <v>6250</v>
      </c>
      <c r="F33" s="12"/>
      <c r="G33" s="13"/>
      <c r="H33" s="13"/>
      <c r="I33" s="13"/>
      <c r="J33" s="13"/>
      <c r="K33" s="13"/>
      <c r="L33" s="13"/>
      <c r="M33" s="13"/>
      <c r="N33" s="13"/>
      <c r="O33" s="13"/>
      <c r="P33" s="13"/>
      <c r="Q33" s="13"/>
    </row>
    <row r="34" ht="14.25" spans="2:17">
      <c r="D34" s="11" t="s">
        <v>1222</v>
      </c>
      <c r="E34" s="12">
        <f t="shared" si="0"/>
        <v>31250</v>
      </c>
      <c r="F34" s="12"/>
      <c r="G34" s="13"/>
      <c r="H34" s="13"/>
      <c r="I34" s="13"/>
      <c r="J34" s="13"/>
      <c r="K34" s="13"/>
      <c r="L34" s="13"/>
      <c r="M34" s="13"/>
      <c r="N34" s="13"/>
      <c r="O34" s="13"/>
      <c r="P34" s="13"/>
      <c r="Q34" s="13"/>
    </row>
    <row r="35" ht="14.25" spans="2:17">
      <c r="D35" s="11" t="s">
        <v>1223</v>
      </c>
      <c r="E35" s="12">
        <f t="shared" si="0"/>
        <v>156250</v>
      </c>
      <c r="F35" s="12"/>
      <c r="G35" s="13"/>
      <c r="H35" s="13"/>
      <c r="I35" s="13"/>
      <c r="J35" s="13"/>
      <c r="K35" s="13"/>
      <c r="L35" s="13"/>
      <c r="M35" s="13"/>
      <c r="N35" s="13"/>
      <c r="O35" s="13"/>
      <c r="P35" s="13"/>
      <c r="Q35" s="13"/>
    </row>
    <row r="36" ht="14.25" spans="2:17">
      <c r="D36" s="11" t="s">
        <v>1224</v>
      </c>
      <c r="E36" s="12">
        <v>50</v>
      </c>
      <c r="F36" s="14"/>
      <c r="G36" s="13"/>
      <c r="H36" s="13"/>
      <c r="I36" s="13"/>
      <c r="J36" s="13"/>
      <c r="K36" s="13"/>
      <c r="L36" s="13"/>
      <c r="M36" s="13"/>
      <c r="N36" s="13"/>
      <c r="O36" s="13"/>
      <c r="P36" s="13"/>
      <c r="Q36" s="13"/>
    </row>
    <row r="37" ht="14.25" spans="2:17">
      <c r="D37" s="11" t="s">
        <v>1225</v>
      </c>
      <c r="E37" s="12">
        <v>250</v>
      </c>
      <c r="F37" s="14"/>
      <c r="G37" s="13"/>
      <c r="H37" s="13"/>
      <c r="I37" s="13"/>
      <c r="J37" s="13"/>
      <c r="K37" s="13"/>
      <c r="L37" s="13"/>
      <c r="M37" s="13"/>
      <c r="N37" s="13"/>
      <c r="O37" s="13"/>
      <c r="P37" s="13"/>
      <c r="Q37" s="13"/>
    </row>
    <row r="38" ht="14.25" spans="2:17">
      <c r="D38" s="11" t="s">
        <v>1226</v>
      </c>
      <c r="E38" s="12"/>
      <c r="F38" s="12"/>
      <c r="G38" s="13"/>
      <c r="H38" s="13"/>
      <c r="I38" s="13"/>
      <c r="J38" s="13"/>
      <c r="K38" s="13"/>
      <c r="L38" s="13"/>
      <c r="M38" s="13"/>
      <c r="N38" s="13"/>
      <c r="O38" s="13"/>
      <c r="P38" s="13"/>
      <c r="Q38" s="13"/>
    </row>
    <row r="39" ht="14.25" spans="2:17">
      <c r="D39" s="11" t="s">
        <v>1227</v>
      </c>
      <c r="E39" s="12"/>
      <c r="F39" s="12"/>
      <c r="G39" s="13"/>
      <c r="H39" s="13"/>
      <c r="I39" s="13"/>
      <c r="J39" s="13"/>
      <c r="K39" s="13"/>
      <c r="L39" s="13"/>
      <c r="M39" s="13"/>
      <c r="N39" s="13"/>
      <c r="O39" s="13"/>
      <c r="P39" s="13"/>
      <c r="Q39" s="13"/>
    </row>
    <row r="42" spans="2:17">
      <c r="B42" s="6"/>
      <c r="C42" t="s">
        <v>1228</v>
      </c>
    </row>
    <row r="46" spans="2:17">
      <c r="D46" s="9" t="s">
        <v>1229</v>
      </c>
      <c r="E46" s="9" t="s">
        <v>926</v>
      </c>
      <c r="F46" s="9" t="s">
        <v>1230</v>
      </c>
      <c r="G46" s="9" t="s">
        <v>260</v>
      </c>
    </row>
    <row r="47" spans="2:17">
      <c r="D47" s="11" t="s">
        <v>260</v>
      </c>
      <c r="E47" s="12" t="s">
        <v>237</v>
      </c>
      <c r="F47" s="12" t="s">
        <v>237</v>
      </c>
      <c r="G47" s="12" t="s">
        <v>237</v>
      </c>
    </row>
    <row r="48" spans="2:17">
      <c r="D48" s="11" t="s">
        <v>755</v>
      </c>
      <c r="E48" s="12" t="s">
        <v>237</v>
      </c>
      <c r="F48" s="12" t="s">
        <v>237</v>
      </c>
      <c r="G48" s="12" t="s">
        <v>237</v>
      </c>
    </row>
    <row r="49" spans="4:7">
      <c r="D49" s="11" t="s">
        <v>971</v>
      </c>
      <c r="E49" s="12" t="s">
        <v>237</v>
      </c>
      <c r="F49" s="12" t="s">
        <v>237</v>
      </c>
      <c r="G49" s="12" t="s">
        <v>237</v>
      </c>
    </row>
    <row r="50" spans="4:7">
      <c r="D50" s="11" t="s">
        <v>1207</v>
      </c>
      <c r="E50" s="12" t="s">
        <v>237</v>
      </c>
      <c r="F50" s="12" t="s">
        <v>237</v>
      </c>
      <c r="G50" s="12" t="s">
        <v>237</v>
      </c>
    </row>
    <row r="51" spans="4:7">
      <c r="D51" s="11" t="s">
        <v>1208</v>
      </c>
      <c r="E51" s="12" t="s">
        <v>237</v>
      </c>
      <c r="F51" s="12" t="s">
        <v>237</v>
      </c>
      <c r="G51" s="12" t="s">
        <v>237</v>
      </c>
    </row>
    <row r="52" spans="4:7">
      <c r="D52" s="11" t="s">
        <v>1209</v>
      </c>
      <c r="E52" s="12" t="s">
        <v>237</v>
      </c>
      <c r="F52" s="12" t="s">
        <v>237</v>
      </c>
      <c r="G52" s="12" t="s">
        <v>237</v>
      </c>
    </row>
    <row r="53" spans="4:7">
      <c r="D53" s="11" t="s">
        <v>1210</v>
      </c>
      <c r="E53" s="12" t="s">
        <v>237</v>
      </c>
      <c r="F53" s="12" t="s">
        <v>237</v>
      </c>
      <c r="G53" s="12" t="s">
        <v>237</v>
      </c>
    </row>
    <row r="54" spans="4:7">
      <c r="D54" s="11" t="s">
        <v>1231</v>
      </c>
      <c r="E54" s="12" t="s">
        <v>237</v>
      </c>
      <c r="F54" s="12" t="s">
        <v>237</v>
      </c>
      <c r="G54" s="12" t="s">
        <v>237</v>
      </c>
    </row>
    <row r="55" spans="4:7">
      <c r="D55" s="11" t="s">
        <v>1211</v>
      </c>
      <c r="E55" s="12" t="s">
        <v>237</v>
      </c>
      <c r="F55" s="12" t="s">
        <v>237</v>
      </c>
      <c r="G55" s="12" t="s">
        <v>237</v>
      </c>
    </row>
    <row r="56" spans="4:7">
      <c r="D56" s="11" t="s">
        <v>1212</v>
      </c>
      <c r="E56" s="12" t="s">
        <v>237</v>
      </c>
      <c r="F56" s="12" t="s">
        <v>237</v>
      </c>
      <c r="G56" s="12" t="s">
        <v>237</v>
      </c>
    </row>
    <row r="57" spans="4:7">
      <c r="D57" s="11" t="s">
        <v>1213</v>
      </c>
      <c r="E57" s="12" t="s">
        <v>237</v>
      </c>
      <c r="F57" s="12" t="s">
        <v>237</v>
      </c>
      <c r="G57" s="12" t="s">
        <v>237</v>
      </c>
    </row>
    <row r="58" spans="4:7">
      <c r="D58" s="11" t="s">
        <v>1214</v>
      </c>
      <c r="E58" s="12" t="s">
        <v>237</v>
      </c>
      <c r="F58" s="15">
        <v>1</v>
      </c>
      <c r="G58" s="12" t="s">
        <v>237</v>
      </c>
    </row>
    <row r="59" spans="4:7">
      <c r="D59" s="11" t="s">
        <v>1215</v>
      </c>
      <c r="E59" s="12" t="s">
        <v>237</v>
      </c>
      <c r="F59" s="12" t="s">
        <v>237</v>
      </c>
      <c r="G59" s="15">
        <v>1</v>
      </c>
    </row>
    <row r="60" spans="4:7">
      <c r="D60" s="11" t="s">
        <v>1216</v>
      </c>
      <c r="E60" s="12" t="s">
        <v>237</v>
      </c>
      <c r="F60" s="12" t="s">
        <v>237</v>
      </c>
      <c r="G60" s="15">
        <v>1</v>
      </c>
    </row>
    <row r="61" spans="4:7">
      <c r="D61" s="11" t="s">
        <v>1217</v>
      </c>
      <c r="E61" s="12" t="s">
        <v>237</v>
      </c>
      <c r="F61" s="12" t="s">
        <v>237</v>
      </c>
      <c r="G61" s="15">
        <v>1</v>
      </c>
    </row>
    <row r="62" spans="4:7">
      <c r="D62" s="11" t="s">
        <v>1218</v>
      </c>
      <c r="E62" s="12" t="s">
        <v>237</v>
      </c>
      <c r="F62" s="12" t="s">
        <v>237</v>
      </c>
      <c r="G62" s="15">
        <v>1</v>
      </c>
    </row>
    <row r="63" spans="4:7">
      <c r="D63" s="11" t="s">
        <v>1219</v>
      </c>
      <c r="E63" s="12" t="s">
        <v>237</v>
      </c>
      <c r="F63" s="12" t="s">
        <v>237</v>
      </c>
      <c r="G63" s="15">
        <v>1</v>
      </c>
    </row>
    <row r="64" spans="4:7">
      <c r="D64" s="11" t="s">
        <v>1220</v>
      </c>
      <c r="E64" s="12" t="s">
        <v>237</v>
      </c>
      <c r="F64" s="12" t="s">
        <v>237</v>
      </c>
      <c r="G64" s="15">
        <v>1</v>
      </c>
    </row>
    <row r="65" spans="2:9">
      <c r="D65" s="11" t="s">
        <v>1221</v>
      </c>
      <c r="E65" s="12" t="s">
        <v>237</v>
      </c>
      <c r="F65" s="12" t="s">
        <v>237</v>
      </c>
      <c r="G65" s="15">
        <v>1</v>
      </c>
    </row>
    <row r="66" spans="2:9">
      <c r="D66" s="11" t="s">
        <v>1222</v>
      </c>
      <c r="E66" s="12" t="s">
        <v>237</v>
      </c>
      <c r="F66" s="12" t="s">
        <v>237</v>
      </c>
      <c r="G66" s="15">
        <v>1</v>
      </c>
    </row>
    <row r="67" spans="2:9">
      <c r="D67" s="11" t="s">
        <v>1223</v>
      </c>
      <c r="E67" s="12" t="s">
        <v>237</v>
      </c>
      <c r="F67" s="12" t="s">
        <v>237</v>
      </c>
      <c r="G67" s="15">
        <v>1</v>
      </c>
    </row>
    <row r="68" spans="2:9">
      <c r="D68" s="11" t="s">
        <v>1224</v>
      </c>
      <c r="E68" s="12" t="s">
        <v>237</v>
      </c>
      <c r="F68" s="12" t="s">
        <v>237</v>
      </c>
      <c r="G68" s="15">
        <v>1</v>
      </c>
    </row>
    <row r="69" spans="2:9">
      <c r="D69" s="11" t="s">
        <v>1225</v>
      </c>
      <c r="E69" s="12" t="s">
        <v>237</v>
      </c>
      <c r="F69" s="12" t="s">
        <v>237</v>
      </c>
      <c r="G69" s="15">
        <v>1</v>
      </c>
    </row>
    <row r="70" spans="2:9">
      <c r="D70" s="11" t="s">
        <v>1226</v>
      </c>
      <c r="E70" s="12" t="s">
        <v>237</v>
      </c>
      <c r="F70" s="12" t="s">
        <v>237</v>
      </c>
      <c r="G70" s="12" t="s">
        <v>237</v>
      </c>
    </row>
    <row r="71" spans="2:9">
      <c r="D71" s="11" t="s">
        <v>1227</v>
      </c>
      <c r="E71" s="12" t="s">
        <v>237</v>
      </c>
      <c r="F71" s="12" t="s">
        <v>237</v>
      </c>
      <c r="G71" s="12" t="s">
        <v>237</v>
      </c>
    </row>
    <row r="75" spans="2:9">
      <c r="B75" s="6"/>
      <c r="C75" t="s">
        <v>1232</v>
      </c>
    </row>
    <row r="77" spans="2:9">
      <c r="D77" t="s">
        <v>1233</v>
      </c>
    </row>
    <row r="79" spans="2:9">
      <c r="D79" s="9" t="s">
        <v>296</v>
      </c>
      <c r="E79" s="9" t="s">
        <v>1234</v>
      </c>
      <c r="F79" s="9" t="s">
        <v>1235</v>
      </c>
      <c r="G79" s="9" t="s">
        <v>1236</v>
      </c>
      <c r="H79" s="9" t="s">
        <v>1237</v>
      </c>
      <c r="I79" s="9" t="s">
        <v>1238</v>
      </c>
    </row>
    <row r="80" spans="2:9">
      <c r="D80" s="16">
        <v>1</v>
      </c>
      <c r="E80" s="12"/>
      <c r="F80" s="12"/>
      <c r="G80" s="12"/>
      <c r="H80" s="12"/>
      <c r="I80" s="12"/>
    </row>
    <row r="81" spans="4:9">
      <c r="D81" s="16">
        <v>2</v>
      </c>
      <c r="E81" s="12"/>
      <c r="F81" s="12"/>
      <c r="G81" s="12"/>
      <c r="H81" s="12"/>
      <c r="I81" s="12"/>
    </row>
    <row r="82" spans="4:9">
      <c r="D82" s="16">
        <v>3</v>
      </c>
      <c r="E82" s="12"/>
      <c r="F82" s="12"/>
      <c r="G82" s="12"/>
      <c r="H82" s="12"/>
      <c r="I82" s="12"/>
    </row>
    <row r="83" spans="4:9">
      <c r="D83" s="16">
        <v>4</v>
      </c>
      <c r="E83" s="12"/>
      <c r="F83" s="12"/>
      <c r="G83" s="12"/>
      <c r="H83" s="12"/>
      <c r="I83" s="12"/>
    </row>
    <row r="84" spans="4:9">
      <c r="D84" s="16">
        <v>5</v>
      </c>
      <c r="E84" s="12"/>
      <c r="F84" s="12"/>
      <c r="G84" s="12"/>
      <c r="H84" s="12"/>
      <c r="I84" s="12"/>
    </row>
    <row r="85" spans="4:9">
      <c r="D85" s="16">
        <v>6</v>
      </c>
      <c r="E85" s="12"/>
      <c r="F85" s="12"/>
      <c r="G85" s="12"/>
      <c r="H85" s="12"/>
      <c r="I85" s="12"/>
    </row>
    <row r="86" spans="4:9">
      <c r="D86" s="16">
        <v>7</v>
      </c>
      <c r="E86" s="12"/>
      <c r="F86" s="12"/>
      <c r="G86" s="12"/>
      <c r="H86" s="12"/>
      <c r="I86" s="12"/>
    </row>
    <row r="87" spans="4:9">
      <c r="D87" s="16">
        <v>8</v>
      </c>
      <c r="E87" s="12"/>
      <c r="F87" s="12"/>
      <c r="G87" s="12"/>
      <c r="H87" s="12"/>
      <c r="I87" s="12"/>
    </row>
    <row r="88" spans="4:9">
      <c r="D88" s="16">
        <v>9</v>
      </c>
      <c r="E88" s="12"/>
      <c r="F88" s="12"/>
      <c r="G88" s="12"/>
      <c r="H88" s="12"/>
      <c r="I88" s="12"/>
    </row>
    <row r="89" spans="4:9">
      <c r="D89" s="16">
        <v>10</v>
      </c>
      <c r="E89" s="12"/>
      <c r="F89" s="12"/>
      <c r="G89" s="12"/>
      <c r="H89" s="12"/>
      <c r="I89" s="12"/>
    </row>
    <row r="90" spans="4:9">
      <c r="D90" s="16">
        <v>11</v>
      </c>
      <c r="E90" s="12"/>
      <c r="F90" s="12"/>
      <c r="G90" s="12"/>
      <c r="H90" s="12"/>
      <c r="I90" s="12"/>
    </row>
    <row r="91" spans="4:9">
      <c r="D91" s="16">
        <v>12</v>
      </c>
      <c r="E91" s="12"/>
      <c r="F91" s="12"/>
      <c r="G91" s="12"/>
      <c r="H91" s="12"/>
      <c r="I91" s="12"/>
    </row>
    <row r="92" spans="4:9">
      <c r="D92" s="16">
        <v>13</v>
      </c>
      <c r="E92" s="12"/>
      <c r="F92" s="12"/>
      <c r="G92" s="12"/>
      <c r="H92" s="12"/>
      <c r="I92" s="12"/>
    </row>
    <row r="93" spans="4:9">
      <c r="D93" s="16">
        <v>14</v>
      </c>
      <c r="E93" s="12"/>
      <c r="F93" s="12"/>
      <c r="G93" s="12"/>
      <c r="H93" s="12"/>
      <c r="I93" s="12"/>
    </row>
    <row r="94" spans="4:9">
      <c r="D94" s="16">
        <v>15</v>
      </c>
      <c r="E94" s="12"/>
      <c r="F94" s="12"/>
      <c r="G94" s="12"/>
      <c r="H94" s="12"/>
      <c r="I94" s="12"/>
    </row>
    <row r="95" spans="4:9">
      <c r="D95" s="16">
        <v>16</v>
      </c>
      <c r="E95" s="12"/>
      <c r="F95" s="12"/>
      <c r="G95" s="12"/>
      <c r="H95" s="12"/>
      <c r="I95" s="12"/>
    </row>
    <row r="96" spans="4:9">
      <c r="D96" s="16">
        <v>17</v>
      </c>
      <c r="E96" s="12"/>
      <c r="F96" s="12"/>
      <c r="G96" s="12"/>
      <c r="H96" s="12"/>
      <c r="I96" s="12"/>
    </row>
    <row r="97" spans="4:9">
      <c r="D97" s="16">
        <v>18</v>
      </c>
      <c r="E97" s="12"/>
      <c r="F97" s="12"/>
      <c r="G97" s="12"/>
      <c r="H97" s="12"/>
      <c r="I97" s="12"/>
    </row>
    <row r="98" spans="4:9">
      <c r="D98" s="16">
        <v>19</v>
      </c>
      <c r="E98" s="12"/>
      <c r="F98" s="12"/>
      <c r="G98" s="12"/>
      <c r="H98" s="12"/>
      <c r="I98" s="12"/>
    </row>
    <row r="99" spans="4:9">
      <c r="D99" s="16">
        <v>20</v>
      </c>
      <c r="E99" s="12"/>
      <c r="F99" s="12"/>
      <c r="G99" s="12"/>
      <c r="H99" s="12"/>
      <c r="I99" s="12"/>
    </row>
    <row r="100" spans="4:9">
      <c r="D100" s="16">
        <v>21</v>
      </c>
      <c r="E100" s="12"/>
      <c r="F100" s="12"/>
      <c r="G100" s="12"/>
      <c r="H100" s="12"/>
      <c r="I100" s="12"/>
    </row>
    <row r="101" spans="4:9">
      <c r="D101" s="16">
        <v>22</v>
      </c>
      <c r="E101" s="12"/>
      <c r="F101" s="12"/>
      <c r="G101" s="12"/>
      <c r="H101" s="12"/>
      <c r="I101" s="12"/>
    </row>
    <row r="102" spans="4:9">
      <c r="D102" s="16">
        <v>23</v>
      </c>
      <c r="E102" s="12"/>
      <c r="F102" s="12"/>
      <c r="G102" s="12"/>
      <c r="H102" s="12"/>
      <c r="I102" s="12"/>
    </row>
    <row r="103" spans="4:9">
      <c r="D103" s="16">
        <v>24</v>
      </c>
      <c r="E103" s="12"/>
      <c r="F103" s="12"/>
      <c r="G103" s="12"/>
      <c r="H103" s="12"/>
      <c r="I103" s="12"/>
    </row>
    <row r="104" spans="4:9">
      <c r="D104" s="16">
        <v>25</v>
      </c>
      <c r="E104" s="12"/>
      <c r="F104" s="12"/>
      <c r="G104" s="12"/>
      <c r="H104" s="12"/>
      <c r="I104" s="12"/>
    </row>
    <row r="105" spans="4:9">
      <c r="D105" s="16">
        <v>26</v>
      </c>
      <c r="E105" s="12"/>
      <c r="F105" s="12"/>
      <c r="G105" s="12"/>
      <c r="H105" s="12"/>
      <c r="I105" s="12"/>
    </row>
    <row r="106" spans="4:9">
      <c r="D106" s="16">
        <v>27</v>
      </c>
      <c r="E106" s="12"/>
      <c r="F106" s="12"/>
      <c r="G106" s="12"/>
      <c r="H106" s="12"/>
      <c r="I106" s="12"/>
    </row>
    <row r="107" spans="4:9">
      <c r="D107" s="16">
        <v>28</v>
      </c>
      <c r="E107" s="12"/>
      <c r="F107" s="12"/>
      <c r="G107" s="12"/>
      <c r="H107" s="12"/>
      <c r="I107" s="12"/>
    </row>
    <row r="108" spans="4:9">
      <c r="D108" s="16">
        <v>29</v>
      </c>
      <c r="E108" s="12"/>
      <c r="F108" s="12"/>
      <c r="G108" s="12"/>
      <c r="H108" s="12"/>
      <c r="I108" s="12"/>
    </row>
    <row r="109" spans="4:9">
      <c r="D109" s="16">
        <v>30</v>
      </c>
      <c r="E109" s="12"/>
      <c r="F109" s="12"/>
      <c r="G109" s="12"/>
      <c r="H109" s="12"/>
      <c r="I109" s="12"/>
    </row>
    <row r="110" spans="4:9">
      <c r="D110" s="16">
        <v>31</v>
      </c>
      <c r="E110" s="12"/>
      <c r="F110" s="12"/>
      <c r="G110" s="12"/>
      <c r="H110" s="12"/>
      <c r="I110" s="12"/>
    </row>
    <row r="111" spans="4:9">
      <c r="D111" s="16">
        <v>32</v>
      </c>
      <c r="E111" s="12"/>
      <c r="F111" s="12"/>
      <c r="G111" s="12"/>
      <c r="H111" s="12"/>
      <c r="I111" s="12"/>
    </row>
    <row r="112" spans="4:9">
      <c r="D112" s="16">
        <v>33</v>
      </c>
      <c r="E112" s="12"/>
      <c r="F112" s="12"/>
      <c r="G112" s="12"/>
      <c r="H112" s="12"/>
      <c r="I112" s="12"/>
    </row>
    <row r="113" spans="4:9">
      <c r="D113" s="16">
        <v>34</v>
      </c>
      <c r="E113" s="12"/>
      <c r="F113" s="12"/>
      <c r="G113" s="12"/>
      <c r="H113" s="12"/>
      <c r="I113" s="12"/>
    </row>
    <row r="114" spans="4:9">
      <c r="D114" s="16">
        <v>35</v>
      </c>
      <c r="E114" s="12"/>
      <c r="F114" s="12"/>
      <c r="G114" s="12"/>
      <c r="H114" s="12"/>
      <c r="I114" s="12"/>
    </row>
    <row r="115" spans="4:9">
      <c r="D115" s="16">
        <v>36</v>
      </c>
      <c r="E115" s="12"/>
      <c r="F115" s="12"/>
      <c r="G115" s="12"/>
      <c r="H115" s="12"/>
      <c r="I115" s="12"/>
    </row>
    <row r="116" spans="4:9">
      <c r="D116" s="16">
        <v>37</v>
      </c>
      <c r="E116" s="12"/>
      <c r="F116" s="12"/>
      <c r="G116" s="12"/>
      <c r="H116" s="12"/>
      <c r="I116" s="12"/>
    </row>
    <row r="117" spans="4:9">
      <c r="D117" s="16">
        <v>38</v>
      </c>
      <c r="E117" s="12"/>
      <c r="F117" s="12"/>
      <c r="G117" s="12"/>
      <c r="H117" s="12"/>
      <c r="I117" s="12"/>
    </row>
    <row r="118" spans="4:9">
      <c r="D118" s="16">
        <v>39</v>
      </c>
      <c r="E118" s="12"/>
      <c r="F118" s="12"/>
      <c r="G118" s="12"/>
      <c r="H118" s="12"/>
      <c r="I118" s="12"/>
    </row>
    <row r="119" spans="4:9">
      <c r="D119" s="16">
        <v>40</v>
      </c>
      <c r="E119" s="12"/>
      <c r="F119" s="12"/>
      <c r="G119" s="12"/>
      <c r="H119" s="12"/>
      <c r="I119" s="12"/>
    </row>
    <row r="120" spans="4:9">
      <c r="D120" s="16">
        <v>41</v>
      </c>
      <c r="E120" s="12"/>
      <c r="F120" s="12"/>
      <c r="G120" s="12"/>
      <c r="H120" s="12"/>
      <c r="I120" s="12"/>
    </row>
    <row r="121" spans="4:9">
      <c r="D121" s="16">
        <v>42</v>
      </c>
      <c r="E121" s="12"/>
      <c r="F121" s="12"/>
      <c r="G121" s="12"/>
      <c r="H121" s="12"/>
      <c r="I121" s="12"/>
    </row>
    <row r="122" spans="4:9">
      <c r="D122" s="16">
        <v>43</v>
      </c>
      <c r="E122" s="12"/>
      <c r="F122" s="12"/>
      <c r="G122" s="12"/>
      <c r="H122" s="12"/>
      <c r="I122" s="12"/>
    </row>
    <row r="123" spans="4:9">
      <c r="D123" s="16">
        <v>44</v>
      </c>
      <c r="E123" s="12"/>
      <c r="F123" s="12"/>
      <c r="G123" s="12"/>
      <c r="H123" s="12"/>
      <c r="I123" s="12"/>
    </row>
    <row r="124" spans="4:9">
      <c r="D124" s="16">
        <v>45</v>
      </c>
      <c r="E124" s="12"/>
      <c r="F124" s="12"/>
      <c r="G124" s="12"/>
      <c r="H124" s="12"/>
      <c r="I124" s="12"/>
    </row>
    <row r="125" spans="4:9">
      <c r="D125" s="16">
        <v>46</v>
      </c>
      <c r="E125" s="12"/>
      <c r="F125" s="12"/>
      <c r="G125" s="12"/>
      <c r="H125" s="12"/>
      <c r="I125" s="12"/>
    </row>
    <row r="126" spans="4:9">
      <c r="D126" s="16">
        <v>47</v>
      </c>
      <c r="E126" s="12"/>
      <c r="F126" s="12"/>
      <c r="G126" s="12"/>
      <c r="H126" s="12"/>
      <c r="I126" s="12"/>
    </row>
    <row r="127" spans="4:9">
      <c r="D127" s="16">
        <v>48</v>
      </c>
      <c r="E127" s="12"/>
      <c r="F127" s="12"/>
      <c r="G127" s="12"/>
      <c r="H127" s="12"/>
      <c r="I127" s="12"/>
    </row>
    <row r="128" spans="4:9">
      <c r="D128" s="16">
        <v>49</v>
      </c>
      <c r="E128" s="12"/>
      <c r="F128" s="12"/>
      <c r="G128" s="12"/>
      <c r="H128" s="12"/>
      <c r="I128" s="12"/>
    </row>
    <row r="129" spans="4:9">
      <c r="D129" s="16">
        <v>50</v>
      </c>
      <c r="E129" s="12"/>
      <c r="F129" s="12"/>
      <c r="G129" s="12"/>
      <c r="H129" s="12"/>
      <c r="I129" s="12"/>
    </row>
    <row r="130" spans="4:9">
      <c r="D130" s="16">
        <v>51</v>
      </c>
      <c r="E130" s="12"/>
      <c r="F130" s="12"/>
      <c r="G130" s="12"/>
      <c r="H130" s="12"/>
      <c r="I130" s="12"/>
    </row>
    <row r="131" spans="4:9">
      <c r="D131" s="16">
        <v>52</v>
      </c>
      <c r="E131" s="12"/>
      <c r="F131" s="12"/>
      <c r="G131" s="12"/>
      <c r="H131" s="12"/>
      <c r="I131" s="12"/>
    </row>
    <row r="132" spans="4:9">
      <c r="D132" s="16">
        <v>53</v>
      </c>
      <c r="E132" s="12"/>
      <c r="F132" s="12"/>
      <c r="G132" s="12"/>
      <c r="H132" s="12"/>
      <c r="I132" s="12"/>
    </row>
    <row r="133" spans="4:9">
      <c r="D133" s="16">
        <v>54</v>
      </c>
      <c r="E133" s="12"/>
      <c r="F133" s="12"/>
      <c r="G133" s="12"/>
      <c r="H133" s="12"/>
      <c r="I133" s="12"/>
    </row>
    <row r="134" spans="4:9">
      <c r="D134" s="16">
        <v>55</v>
      </c>
      <c r="E134" s="12"/>
      <c r="F134" s="12"/>
      <c r="G134" s="12"/>
      <c r="H134" s="12"/>
      <c r="I134" s="12"/>
    </row>
    <row r="135" spans="4:9">
      <c r="D135" s="16">
        <v>56</v>
      </c>
      <c r="E135" s="12"/>
      <c r="F135" s="12"/>
      <c r="G135" s="12"/>
      <c r="H135" s="12"/>
      <c r="I135" s="12"/>
    </row>
    <row r="136" spans="4:9">
      <c r="D136" s="16">
        <v>57</v>
      </c>
      <c r="E136" s="12"/>
      <c r="F136" s="12"/>
      <c r="G136" s="12"/>
      <c r="H136" s="12"/>
      <c r="I136" s="12"/>
    </row>
    <row r="137" spans="4:9">
      <c r="D137" s="16">
        <v>58</v>
      </c>
      <c r="E137" s="12"/>
      <c r="F137" s="12"/>
      <c r="G137" s="12"/>
      <c r="H137" s="12"/>
      <c r="I137" s="12"/>
    </row>
    <row r="138" spans="4:9">
      <c r="D138" s="16">
        <v>59</v>
      </c>
      <c r="E138" s="12"/>
      <c r="F138" s="12"/>
      <c r="G138" s="12"/>
      <c r="H138" s="12"/>
      <c r="I138" s="12"/>
    </row>
    <row r="139" spans="4:9">
      <c r="D139" s="16">
        <v>60</v>
      </c>
      <c r="E139" s="12"/>
      <c r="F139" s="12"/>
      <c r="G139" s="12"/>
      <c r="H139" s="12"/>
      <c r="I139" s="12"/>
    </row>
    <row r="140" spans="4:9">
      <c r="D140" s="16">
        <v>61</v>
      </c>
      <c r="E140" s="12"/>
      <c r="F140" s="12"/>
      <c r="G140" s="12"/>
      <c r="H140" s="12"/>
      <c r="I140" s="12"/>
    </row>
    <row r="141" spans="4:9">
      <c r="D141" s="16">
        <v>62</v>
      </c>
      <c r="E141" s="12"/>
      <c r="F141" s="12"/>
      <c r="G141" s="12"/>
      <c r="H141" s="12"/>
      <c r="I141" s="12"/>
    </row>
    <row r="142" spans="4:9">
      <c r="D142" s="16">
        <v>63</v>
      </c>
      <c r="E142" s="12"/>
      <c r="F142" s="12"/>
      <c r="G142" s="12"/>
      <c r="H142" s="12"/>
      <c r="I142" s="12"/>
    </row>
    <row r="143" spans="4:9">
      <c r="D143" s="16">
        <v>64</v>
      </c>
      <c r="E143" s="12"/>
      <c r="F143" s="12"/>
      <c r="G143" s="12"/>
      <c r="H143" s="12"/>
      <c r="I143" s="12"/>
    </row>
    <row r="144" spans="4:9">
      <c r="D144" s="16">
        <v>65</v>
      </c>
      <c r="E144" s="12"/>
      <c r="F144" s="12"/>
      <c r="G144" s="12"/>
      <c r="H144" s="12"/>
      <c r="I144" s="12"/>
    </row>
    <row r="145" spans="4:9">
      <c r="D145" s="16">
        <v>66</v>
      </c>
      <c r="E145" s="12"/>
      <c r="F145" s="12"/>
      <c r="G145" s="12"/>
      <c r="H145" s="12"/>
      <c r="I145" s="12"/>
    </row>
    <row r="146" spans="4:9">
      <c r="D146" s="16">
        <v>67</v>
      </c>
      <c r="E146" s="12"/>
      <c r="F146" s="12"/>
      <c r="G146" s="12"/>
      <c r="H146" s="12"/>
      <c r="I146" s="12"/>
    </row>
    <row r="147" spans="4:9">
      <c r="D147" s="16">
        <v>68</v>
      </c>
      <c r="E147" s="12"/>
      <c r="F147" s="12"/>
      <c r="G147" s="12"/>
      <c r="H147" s="12"/>
      <c r="I147" s="12"/>
    </row>
    <row r="148" spans="4:9">
      <c r="D148" s="16">
        <v>69</v>
      </c>
      <c r="E148" s="12"/>
      <c r="F148" s="12"/>
      <c r="G148" s="12"/>
      <c r="H148" s="12"/>
      <c r="I148" s="12"/>
    </row>
    <row r="149" spans="4:9">
      <c r="D149" s="16">
        <v>70</v>
      </c>
      <c r="E149" s="12"/>
      <c r="F149" s="12"/>
      <c r="G149" s="12"/>
      <c r="H149" s="12"/>
      <c r="I149" s="12"/>
    </row>
    <row r="150" spans="4:9">
      <c r="D150" s="16">
        <v>71</v>
      </c>
      <c r="E150" s="12"/>
      <c r="F150" s="12"/>
      <c r="G150" s="12"/>
      <c r="H150" s="12"/>
      <c r="I150" s="12"/>
    </row>
    <row r="151" spans="4:9">
      <c r="D151" s="16">
        <v>72</v>
      </c>
      <c r="E151" s="12"/>
      <c r="F151" s="12"/>
      <c r="G151" s="12"/>
      <c r="H151" s="12"/>
      <c r="I151" s="12"/>
    </row>
    <row r="152" spans="4:9">
      <c r="D152" s="16">
        <v>73</v>
      </c>
      <c r="E152" s="12"/>
      <c r="F152" s="12"/>
      <c r="G152" s="12"/>
      <c r="H152" s="12"/>
      <c r="I152" s="12"/>
    </row>
    <row r="153" spans="4:9">
      <c r="D153" s="16">
        <v>74</v>
      </c>
      <c r="E153" s="12"/>
      <c r="F153" s="12"/>
      <c r="G153" s="12"/>
      <c r="H153" s="12"/>
      <c r="I153" s="12"/>
    </row>
    <row r="154" spans="4:9">
      <c r="D154" s="16">
        <v>75</v>
      </c>
      <c r="E154" s="12"/>
      <c r="F154" s="12"/>
      <c r="G154" s="12"/>
      <c r="H154" s="12"/>
      <c r="I154" s="12"/>
    </row>
    <row r="155" spans="4:9">
      <c r="D155" s="16">
        <v>76</v>
      </c>
      <c r="E155" s="12"/>
      <c r="F155" s="12"/>
      <c r="G155" s="12"/>
      <c r="H155" s="12"/>
      <c r="I155" s="12"/>
    </row>
    <row r="156" spans="4:9">
      <c r="D156" s="16">
        <v>77</v>
      </c>
      <c r="E156" s="12"/>
      <c r="F156" s="12"/>
      <c r="G156" s="12"/>
      <c r="H156" s="12"/>
      <c r="I156" s="12"/>
    </row>
    <row r="157" spans="4:9">
      <c r="D157" s="16">
        <v>78</v>
      </c>
      <c r="E157" s="12"/>
      <c r="F157" s="12"/>
      <c r="G157" s="12"/>
      <c r="H157" s="12"/>
      <c r="I157" s="12"/>
    </row>
    <row r="158" spans="4:9">
      <c r="D158" s="16">
        <v>79</v>
      </c>
      <c r="E158" s="12"/>
      <c r="F158" s="12"/>
      <c r="G158" s="12"/>
      <c r="H158" s="12"/>
      <c r="I158" s="12"/>
    </row>
    <row r="159" spans="4:9">
      <c r="D159" s="16">
        <v>80</v>
      </c>
      <c r="E159" s="12"/>
      <c r="F159" s="12"/>
      <c r="G159" s="12"/>
      <c r="H159" s="12"/>
      <c r="I159" s="12"/>
    </row>
    <row r="160" spans="4:9">
      <c r="D160" s="16">
        <v>81</v>
      </c>
      <c r="E160" s="12"/>
      <c r="F160" s="12"/>
      <c r="G160" s="12"/>
      <c r="H160" s="12"/>
      <c r="I160" s="12"/>
    </row>
    <row r="161" spans="4:9">
      <c r="D161" s="16">
        <v>82</v>
      </c>
      <c r="E161" s="12"/>
      <c r="F161" s="12"/>
      <c r="G161" s="12"/>
      <c r="H161" s="12"/>
      <c r="I161" s="12"/>
    </row>
    <row r="162" spans="4:9">
      <c r="D162" s="16">
        <v>83</v>
      </c>
      <c r="E162" s="12"/>
      <c r="F162" s="12"/>
      <c r="G162" s="12"/>
      <c r="H162" s="12"/>
      <c r="I162" s="12"/>
    </row>
    <row r="163" spans="4:9">
      <c r="D163" s="16">
        <v>84</v>
      </c>
      <c r="E163" s="12"/>
      <c r="F163" s="12"/>
      <c r="G163" s="12"/>
      <c r="H163" s="12"/>
      <c r="I163" s="12"/>
    </row>
    <row r="164" spans="4:9">
      <c r="D164" s="16">
        <v>85</v>
      </c>
      <c r="E164" s="12"/>
      <c r="F164" s="12"/>
      <c r="G164" s="12"/>
      <c r="H164" s="12"/>
      <c r="I164" s="12"/>
    </row>
    <row r="165" spans="4:9">
      <c r="D165" s="16">
        <v>86</v>
      </c>
      <c r="E165" s="12"/>
      <c r="F165" s="12"/>
      <c r="G165" s="12"/>
      <c r="H165" s="12"/>
      <c r="I165" s="12"/>
    </row>
    <row r="166" spans="4:9">
      <c r="D166" s="16">
        <v>87</v>
      </c>
      <c r="E166" s="12"/>
      <c r="F166" s="12"/>
      <c r="G166" s="12"/>
      <c r="H166" s="12"/>
      <c r="I166" s="12"/>
    </row>
    <row r="167" spans="4:9">
      <c r="D167" s="16">
        <v>88</v>
      </c>
      <c r="E167" s="12"/>
      <c r="F167" s="12"/>
      <c r="G167" s="12"/>
      <c r="H167" s="12"/>
      <c r="I167" s="12"/>
    </row>
    <row r="168" spans="4:9">
      <c r="D168" s="16">
        <v>89</v>
      </c>
      <c r="E168" s="12"/>
      <c r="F168" s="12"/>
      <c r="G168" s="12"/>
      <c r="H168" s="12"/>
      <c r="I168" s="12"/>
    </row>
    <row r="169" spans="4:9">
      <c r="D169" s="16">
        <v>90</v>
      </c>
      <c r="E169" s="12"/>
      <c r="F169" s="12"/>
      <c r="G169" s="12"/>
      <c r="H169" s="12"/>
      <c r="I169" s="12"/>
    </row>
    <row r="170" spans="4:9">
      <c r="D170" s="16">
        <v>91</v>
      </c>
      <c r="E170" s="12"/>
      <c r="F170" s="12"/>
      <c r="G170" s="12"/>
      <c r="H170" s="12"/>
      <c r="I170" s="12"/>
    </row>
    <row r="171" spans="4:9">
      <c r="D171" s="16">
        <v>92</v>
      </c>
      <c r="E171" s="12"/>
      <c r="F171" s="12"/>
      <c r="G171" s="12"/>
      <c r="H171" s="12"/>
      <c r="I171" s="12"/>
    </row>
    <row r="172" spans="4:9">
      <c r="D172" s="16">
        <v>93</v>
      </c>
      <c r="E172" s="12"/>
      <c r="F172" s="12"/>
      <c r="G172" s="12"/>
      <c r="H172" s="12"/>
      <c r="I172" s="12"/>
    </row>
    <row r="173" spans="4:9">
      <c r="D173" s="16">
        <v>94</v>
      </c>
      <c r="E173" s="12"/>
      <c r="F173" s="12"/>
      <c r="G173" s="12"/>
      <c r="H173" s="12"/>
      <c r="I173" s="12"/>
    </row>
    <row r="174" spans="4:9">
      <c r="D174" s="16">
        <v>95</v>
      </c>
      <c r="E174" s="12"/>
      <c r="F174" s="12"/>
      <c r="G174" s="12"/>
      <c r="H174" s="12"/>
      <c r="I174" s="12"/>
    </row>
    <row r="175" spans="4:9">
      <c r="D175" s="16">
        <v>96</v>
      </c>
      <c r="E175" s="12"/>
      <c r="F175" s="12"/>
      <c r="G175" s="12"/>
      <c r="H175" s="12"/>
      <c r="I175" s="12"/>
    </row>
    <row r="176" spans="4:9">
      <c r="D176" s="16">
        <v>97</v>
      </c>
      <c r="E176" s="12"/>
      <c r="F176" s="12"/>
      <c r="G176" s="12"/>
      <c r="H176" s="12"/>
      <c r="I176" s="12"/>
    </row>
    <row r="177" spans="4:9">
      <c r="D177" s="16">
        <v>98</v>
      </c>
      <c r="E177" s="12"/>
      <c r="F177" s="12"/>
      <c r="G177" s="12"/>
      <c r="H177" s="12"/>
      <c r="I177" s="12"/>
    </row>
    <row r="178" spans="4:9">
      <c r="D178" s="16">
        <v>99</v>
      </c>
      <c r="E178" s="12"/>
      <c r="F178" s="12"/>
      <c r="G178" s="12"/>
      <c r="H178" s="12"/>
      <c r="I178" s="12"/>
    </row>
    <row r="179" spans="4:9">
      <c r="D179" s="16">
        <v>100</v>
      </c>
      <c r="E179" s="12"/>
      <c r="F179" s="12"/>
      <c r="G179" s="12"/>
      <c r="H179" s="12"/>
      <c r="I179" s="12"/>
    </row>
    <row r="180" spans="4:9">
      <c r="D180" s="16">
        <v>101</v>
      </c>
      <c r="E180" s="12"/>
      <c r="F180" s="12"/>
      <c r="G180" s="12"/>
      <c r="H180" s="12"/>
      <c r="I180" s="12"/>
    </row>
    <row r="181" spans="4:9">
      <c r="D181" s="16">
        <v>102</v>
      </c>
      <c r="E181" s="12"/>
      <c r="F181" s="12"/>
      <c r="G181" s="12"/>
      <c r="H181" s="12"/>
      <c r="I181" s="12"/>
    </row>
    <row r="182" spans="4:9">
      <c r="D182" s="16">
        <v>103</v>
      </c>
      <c r="E182" s="12"/>
      <c r="F182" s="12"/>
      <c r="G182" s="12"/>
      <c r="H182" s="12"/>
      <c r="I182" s="12"/>
    </row>
    <row r="183" spans="4:9">
      <c r="D183" s="16">
        <v>104</v>
      </c>
      <c r="E183" s="12"/>
      <c r="F183" s="12"/>
      <c r="G183" s="12"/>
      <c r="H183" s="12"/>
      <c r="I183" s="12"/>
    </row>
    <row r="184" spans="4:9">
      <c r="D184" s="16">
        <v>105</v>
      </c>
      <c r="E184" s="12"/>
      <c r="F184" s="12"/>
      <c r="G184" s="12"/>
      <c r="H184" s="12"/>
      <c r="I184" s="12"/>
    </row>
    <row r="185" spans="4:9">
      <c r="D185" s="16">
        <v>106</v>
      </c>
      <c r="E185" s="12"/>
      <c r="F185" s="12"/>
      <c r="G185" s="12"/>
      <c r="H185" s="12"/>
      <c r="I185" s="12"/>
    </row>
    <row r="186" spans="4:9">
      <c r="D186" s="16">
        <v>107</v>
      </c>
      <c r="E186" s="12"/>
      <c r="F186" s="12"/>
      <c r="G186" s="12"/>
      <c r="H186" s="12"/>
      <c r="I186" s="12"/>
    </row>
    <row r="187" spans="4:9">
      <c r="D187" s="16">
        <v>108</v>
      </c>
      <c r="E187" s="12"/>
      <c r="F187" s="12"/>
      <c r="G187" s="12"/>
      <c r="H187" s="12"/>
      <c r="I187" s="12"/>
    </row>
    <row r="188" spans="4:9">
      <c r="D188" s="16">
        <v>109</v>
      </c>
      <c r="E188" s="12"/>
      <c r="F188" s="12"/>
      <c r="G188" s="12"/>
      <c r="H188" s="12"/>
      <c r="I188" s="12"/>
    </row>
    <row r="189" spans="4:9">
      <c r="D189" s="16">
        <v>110</v>
      </c>
      <c r="E189" s="12"/>
      <c r="F189" s="12"/>
      <c r="G189" s="12"/>
      <c r="H189" s="12"/>
      <c r="I189" s="12"/>
    </row>
    <row r="190" spans="4:9">
      <c r="D190" s="16">
        <v>111</v>
      </c>
      <c r="E190" s="12"/>
      <c r="F190" s="12"/>
      <c r="G190" s="12"/>
      <c r="H190" s="12"/>
      <c r="I190" s="12"/>
    </row>
    <row r="191" spans="4:9">
      <c r="D191" s="16">
        <v>112</v>
      </c>
      <c r="E191" s="12"/>
      <c r="F191" s="12"/>
      <c r="G191" s="12"/>
      <c r="H191" s="12"/>
      <c r="I191" s="12"/>
    </row>
    <row r="192" spans="4:9">
      <c r="D192" s="16">
        <v>113</v>
      </c>
      <c r="E192" s="12"/>
      <c r="F192" s="12"/>
      <c r="G192" s="12"/>
      <c r="H192" s="12"/>
      <c r="I192" s="12"/>
    </row>
    <row r="193" spans="4:9">
      <c r="D193" s="16">
        <v>114</v>
      </c>
      <c r="E193" s="12"/>
      <c r="F193" s="12"/>
      <c r="G193" s="12"/>
      <c r="H193" s="12"/>
      <c r="I193" s="12"/>
    </row>
    <row r="194" spans="4:9">
      <c r="D194" s="16">
        <v>115</v>
      </c>
      <c r="E194" s="12"/>
      <c r="F194" s="12"/>
      <c r="G194" s="12"/>
      <c r="H194" s="12"/>
      <c r="I194" s="12"/>
    </row>
    <row r="195" spans="4:9">
      <c r="D195" s="16">
        <v>116</v>
      </c>
      <c r="E195" s="12"/>
      <c r="F195" s="12"/>
      <c r="G195" s="12"/>
      <c r="H195" s="12"/>
      <c r="I195" s="12"/>
    </row>
    <row r="196" spans="4:9">
      <c r="D196" s="16">
        <v>117</v>
      </c>
      <c r="E196" s="12"/>
      <c r="F196" s="12"/>
      <c r="G196" s="12"/>
      <c r="H196" s="12"/>
      <c r="I196" s="12"/>
    </row>
    <row r="197" spans="4:9">
      <c r="D197" s="16">
        <v>118</v>
      </c>
      <c r="E197" s="12"/>
      <c r="F197" s="12"/>
      <c r="G197" s="12"/>
      <c r="H197" s="12"/>
      <c r="I197" s="12"/>
    </row>
    <row r="198" spans="4:9">
      <c r="D198" s="16">
        <v>119</v>
      </c>
      <c r="E198" s="12"/>
      <c r="F198" s="12"/>
      <c r="G198" s="12"/>
      <c r="H198" s="12"/>
      <c r="I198" s="12"/>
    </row>
    <row r="199" spans="4:9">
      <c r="D199" s="16">
        <v>120</v>
      </c>
      <c r="E199" s="12"/>
      <c r="F199" s="12"/>
      <c r="G199" s="12"/>
      <c r="H199" s="12"/>
      <c r="I199" s="12"/>
    </row>
    <row r="200" spans="4:9">
      <c r="D200" s="16">
        <v>121</v>
      </c>
      <c r="E200" s="12"/>
      <c r="F200" s="12"/>
      <c r="G200" s="12"/>
      <c r="H200" s="12"/>
      <c r="I200" s="12"/>
    </row>
    <row r="201" spans="4:9">
      <c r="D201" s="16">
        <v>122</v>
      </c>
      <c r="E201" s="12"/>
      <c r="F201" s="12"/>
      <c r="G201" s="12"/>
      <c r="H201" s="12"/>
      <c r="I201" s="12"/>
    </row>
    <row r="202" spans="4:9">
      <c r="D202" s="16">
        <v>123</v>
      </c>
      <c r="E202" s="12"/>
      <c r="F202" s="12"/>
      <c r="G202" s="12"/>
      <c r="H202" s="12"/>
      <c r="I202" s="12"/>
    </row>
    <row r="203" spans="4:9">
      <c r="D203" s="16">
        <v>124</v>
      </c>
      <c r="E203" s="12"/>
      <c r="F203" s="12"/>
      <c r="G203" s="12"/>
      <c r="H203" s="12"/>
      <c r="I203" s="12"/>
    </row>
    <row r="204" spans="4:9">
      <c r="D204" s="16">
        <v>125</v>
      </c>
      <c r="E204" s="12"/>
      <c r="F204" s="12"/>
      <c r="G204" s="12"/>
      <c r="H204" s="12"/>
      <c r="I204" s="12"/>
    </row>
    <row r="205" spans="4:9">
      <c r="D205" s="16">
        <v>126</v>
      </c>
      <c r="E205" s="12"/>
      <c r="F205" s="12"/>
      <c r="G205" s="12"/>
      <c r="H205" s="12"/>
      <c r="I205" s="12"/>
    </row>
    <row r="206" spans="4:9">
      <c r="D206" s="16">
        <v>127</v>
      </c>
      <c r="E206" s="12"/>
      <c r="F206" s="12"/>
      <c r="G206" s="12"/>
      <c r="H206" s="12"/>
      <c r="I206" s="12"/>
    </row>
    <row r="207" spans="4:9">
      <c r="D207" s="16">
        <v>128</v>
      </c>
      <c r="E207" s="12"/>
      <c r="F207" s="12"/>
      <c r="G207" s="12"/>
      <c r="H207" s="12"/>
      <c r="I207" s="12"/>
    </row>
    <row r="208" spans="4:9">
      <c r="D208" s="16">
        <v>129</v>
      </c>
      <c r="E208" s="12"/>
      <c r="F208" s="12"/>
      <c r="G208" s="12"/>
      <c r="H208" s="12"/>
      <c r="I208" s="12"/>
    </row>
    <row r="209" spans="4:9">
      <c r="D209" s="16">
        <v>130</v>
      </c>
      <c r="E209" s="12"/>
      <c r="F209" s="12"/>
      <c r="G209" s="12"/>
      <c r="H209" s="12"/>
      <c r="I209" s="12"/>
    </row>
    <row r="210" spans="4:9">
      <c r="D210" s="16">
        <v>131</v>
      </c>
      <c r="E210" s="12"/>
      <c r="F210" s="12"/>
      <c r="G210" s="12"/>
      <c r="H210" s="12"/>
      <c r="I210" s="12"/>
    </row>
    <row r="211" spans="4:9">
      <c r="D211" s="16">
        <v>132</v>
      </c>
      <c r="E211" s="12"/>
      <c r="F211" s="12"/>
      <c r="G211" s="12"/>
      <c r="H211" s="12"/>
      <c r="I211" s="12"/>
    </row>
    <row r="212" spans="4:9">
      <c r="D212" s="16">
        <v>133</v>
      </c>
      <c r="E212" s="12"/>
      <c r="F212" s="12"/>
      <c r="G212" s="12"/>
      <c r="H212" s="12"/>
      <c r="I212" s="12"/>
    </row>
    <row r="213" spans="4:9">
      <c r="D213" s="16">
        <v>134</v>
      </c>
      <c r="E213" s="12"/>
      <c r="F213" s="12"/>
      <c r="G213" s="12"/>
      <c r="H213" s="12"/>
      <c r="I213" s="12"/>
    </row>
    <row r="214" spans="4:9">
      <c r="D214" s="16">
        <v>135</v>
      </c>
      <c r="E214" s="12"/>
      <c r="F214" s="12"/>
      <c r="G214" s="12"/>
      <c r="H214" s="12"/>
      <c r="I214" s="12"/>
    </row>
    <row r="215" spans="4:9">
      <c r="D215" s="16">
        <v>136</v>
      </c>
      <c r="E215" s="12"/>
      <c r="F215" s="12"/>
      <c r="G215" s="12"/>
      <c r="H215" s="12"/>
      <c r="I215" s="12"/>
    </row>
    <row r="216" spans="4:9">
      <c r="D216" s="16">
        <v>137</v>
      </c>
      <c r="E216" s="12"/>
      <c r="F216" s="12"/>
      <c r="G216" s="12"/>
      <c r="H216" s="12"/>
      <c r="I216" s="12"/>
    </row>
    <row r="217" spans="4:9">
      <c r="D217" s="16">
        <v>138</v>
      </c>
      <c r="E217" s="12"/>
      <c r="F217" s="12"/>
      <c r="G217" s="12"/>
      <c r="H217" s="12"/>
      <c r="I217" s="12"/>
    </row>
    <row r="218" spans="4:9">
      <c r="D218" s="16">
        <v>139</v>
      </c>
      <c r="E218" s="12"/>
      <c r="F218" s="12"/>
      <c r="G218" s="12"/>
      <c r="H218" s="12"/>
      <c r="I218" s="12"/>
    </row>
    <row r="219" spans="4:9">
      <c r="D219" s="16">
        <v>140</v>
      </c>
      <c r="E219" s="12"/>
      <c r="F219" s="12"/>
      <c r="G219" s="12"/>
      <c r="H219" s="12"/>
      <c r="I219" s="12"/>
    </row>
    <row r="220" spans="4:9">
      <c r="D220" s="16">
        <v>141</v>
      </c>
      <c r="E220" s="12"/>
      <c r="F220" s="12"/>
      <c r="G220" s="12"/>
      <c r="H220" s="12"/>
      <c r="I220" s="12"/>
    </row>
    <row r="221" spans="4:9">
      <c r="D221" s="16">
        <v>142</v>
      </c>
      <c r="E221" s="12"/>
      <c r="F221" s="12"/>
      <c r="G221" s="12"/>
      <c r="H221" s="12"/>
      <c r="I221" s="12"/>
    </row>
    <row r="222" spans="4:9">
      <c r="D222" s="16">
        <v>143</v>
      </c>
      <c r="E222" s="12"/>
      <c r="F222" s="12"/>
      <c r="G222" s="12"/>
      <c r="H222" s="12"/>
      <c r="I222" s="12"/>
    </row>
    <row r="223" spans="4:9">
      <c r="D223" s="16">
        <v>144</v>
      </c>
      <c r="E223" s="12"/>
      <c r="F223" s="12"/>
      <c r="G223" s="12"/>
      <c r="H223" s="12"/>
      <c r="I223" s="12"/>
    </row>
    <row r="224" spans="4:9">
      <c r="D224" s="16">
        <v>145</v>
      </c>
      <c r="E224" s="12"/>
      <c r="F224" s="12"/>
      <c r="G224" s="12"/>
      <c r="H224" s="12"/>
      <c r="I224" s="12"/>
    </row>
    <row r="225" spans="4:9">
      <c r="D225" s="16">
        <v>146</v>
      </c>
      <c r="E225" s="12"/>
      <c r="F225" s="12"/>
      <c r="G225" s="12"/>
      <c r="H225" s="12"/>
      <c r="I225" s="12"/>
    </row>
    <row r="226" spans="4:9">
      <c r="D226" s="16">
        <v>147</v>
      </c>
      <c r="E226" s="12"/>
      <c r="F226" s="12"/>
      <c r="G226" s="12"/>
      <c r="H226" s="12"/>
      <c r="I226" s="12"/>
    </row>
    <row r="227" spans="4:9">
      <c r="D227" s="16">
        <v>148</v>
      </c>
      <c r="E227" s="12"/>
      <c r="F227" s="12"/>
      <c r="G227" s="12"/>
      <c r="H227" s="12"/>
      <c r="I227" s="12"/>
    </row>
    <row r="228" spans="4:9">
      <c r="D228" s="16">
        <v>149</v>
      </c>
      <c r="E228" s="12"/>
      <c r="F228" s="12"/>
      <c r="G228" s="12"/>
      <c r="H228" s="12"/>
      <c r="I228" s="12"/>
    </row>
    <row r="229" spans="4:9">
      <c r="D229" s="16">
        <v>150</v>
      </c>
      <c r="E229" s="12"/>
      <c r="F229" s="12"/>
      <c r="G229" s="12"/>
      <c r="H229" s="12"/>
      <c r="I229" s="12"/>
    </row>
    <row r="230" spans="4:9">
      <c r="D230" s="16">
        <v>151</v>
      </c>
      <c r="E230" s="12"/>
      <c r="F230" s="12"/>
      <c r="G230" s="12"/>
      <c r="H230" s="12"/>
      <c r="I230" s="12"/>
    </row>
    <row r="231" spans="4:9">
      <c r="D231" s="16">
        <v>152</v>
      </c>
      <c r="E231" s="12"/>
      <c r="F231" s="12"/>
      <c r="G231" s="12"/>
      <c r="H231" s="12"/>
      <c r="I231" s="12"/>
    </row>
    <row r="232" spans="4:9">
      <c r="D232" s="16">
        <v>153</v>
      </c>
      <c r="E232" s="12"/>
      <c r="F232" s="12"/>
      <c r="G232" s="12"/>
      <c r="H232" s="12"/>
      <c r="I232" s="12"/>
    </row>
    <row r="233" spans="4:9">
      <c r="D233" s="16">
        <v>154</v>
      </c>
      <c r="E233" s="12"/>
      <c r="F233" s="12"/>
      <c r="G233" s="12"/>
      <c r="H233" s="12"/>
      <c r="I233" s="12"/>
    </row>
    <row r="234" spans="4:9">
      <c r="D234" s="16">
        <v>155</v>
      </c>
      <c r="E234" s="12"/>
      <c r="F234" s="12"/>
      <c r="G234" s="12"/>
      <c r="H234" s="12"/>
      <c r="I234" s="12"/>
    </row>
    <row r="235" spans="4:9">
      <c r="D235" s="16">
        <v>156</v>
      </c>
      <c r="E235" s="12"/>
      <c r="F235" s="12"/>
      <c r="G235" s="12"/>
      <c r="H235" s="12"/>
      <c r="I235" s="12"/>
    </row>
    <row r="236" spans="4:9">
      <c r="D236" s="16">
        <v>157</v>
      </c>
      <c r="E236" s="12"/>
      <c r="F236" s="12"/>
      <c r="G236" s="12"/>
      <c r="H236" s="12"/>
      <c r="I236" s="12"/>
    </row>
    <row r="237" spans="4:9">
      <c r="D237" s="16">
        <v>158</v>
      </c>
      <c r="E237" s="12"/>
      <c r="F237" s="12"/>
      <c r="G237" s="12"/>
      <c r="H237" s="12"/>
      <c r="I237" s="12"/>
    </row>
    <row r="238" spans="4:9">
      <c r="D238" s="16">
        <v>159</v>
      </c>
      <c r="E238" s="12"/>
      <c r="F238" s="12"/>
      <c r="G238" s="12"/>
      <c r="H238" s="12"/>
      <c r="I238" s="12"/>
    </row>
    <row r="239" spans="4:9">
      <c r="D239" s="16">
        <v>160</v>
      </c>
      <c r="E239" s="12"/>
      <c r="F239" s="12"/>
      <c r="G239" s="12"/>
      <c r="H239" s="12"/>
      <c r="I239" s="12"/>
    </row>
    <row r="240" spans="4:9">
      <c r="D240" s="16">
        <v>161</v>
      </c>
      <c r="E240" s="12"/>
      <c r="F240" s="12"/>
      <c r="G240" s="12"/>
      <c r="H240" s="12"/>
      <c r="I240" s="12"/>
    </row>
    <row r="241" spans="4:9">
      <c r="D241" s="16">
        <v>162</v>
      </c>
      <c r="E241" s="12"/>
      <c r="F241" s="12"/>
      <c r="G241" s="12"/>
      <c r="H241" s="12"/>
      <c r="I241" s="12"/>
    </row>
    <row r="242" spans="4:9">
      <c r="D242" s="16">
        <v>163</v>
      </c>
      <c r="E242" s="12"/>
      <c r="F242" s="12"/>
      <c r="G242" s="12"/>
      <c r="H242" s="12"/>
      <c r="I242" s="12"/>
    </row>
    <row r="243" spans="4:9">
      <c r="D243" s="16">
        <v>164</v>
      </c>
      <c r="E243" s="12"/>
      <c r="F243" s="12"/>
      <c r="G243" s="12"/>
      <c r="H243" s="12"/>
      <c r="I243" s="12"/>
    </row>
    <row r="244" spans="4:9">
      <c r="D244" s="16">
        <v>165</v>
      </c>
      <c r="E244" s="12"/>
      <c r="F244" s="12"/>
      <c r="G244" s="12"/>
      <c r="H244" s="12"/>
      <c r="I244" s="12"/>
    </row>
    <row r="245" spans="4:9">
      <c r="D245" s="16">
        <v>166</v>
      </c>
      <c r="E245" s="12"/>
      <c r="F245" s="12"/>
      <c r="G245" s="12"/>
      <c r="H245" s="12"/>
      <c r="I245" s="12"/>
    </row>
    <row r="246" spans="4:9">
      <c r="D246" s="16">
        <v>167</v>
      </c>
      <c r="E246" s="12"/>
      <c r="F246" s="12"/>
      <c r="G246" s="12"/>
      <c r="H246" s="12"/>
      <c r="I246" s="12"/>
    </row>
    <row r="247" spans="4:9">
      <c r="D247" s="16">
        <v>168</v>
      </c>
      <c r="E247" s="12"/>
      <c r="F247" s="12"/>
      <c r="G247" s="12"/>
      <c r="H247" s="12"/>
      <c r="I247" s="12"/>
    </row>
    <row r="248" spans="4:9">
      <c r="D248" s="16">
        <v>169</v>
      </c>
      <c r="E248" s="12"/>
      <c r="F248" s="12"/>
      <c r="G248" s="12"/>
      <c r="H248" s="12"/>
      <c r="I248" s="12"/>
    </row>
    <row r="249" spans="4:9">
      <c r="D249" s="16">
        <v>170</v>
      </c>
      <c r="E249" s="12"/>
      <c r="F249" s="12"/>
      <c r="G249" s="12"/>
      <c r="H249" s="12"/>
      <c r="I249" s="12"/>
    </row>
    <row r="250" spans="4:9">
      <c r="D250" s="16">
        <v>171</v>
      </c>
      <c r="E250" s="12"/>
      <c r="F250" s="12"/>
      <c r="G250" s="12"/>
      <c r="H250" s="12"/>
      <c r="I250" s="12"/>
    </row>
    <row r="251" spans="4:9">
      <c r="D251" s="16">
        <v>172</v>
      </c>
      <c r="E251" s="12"/>
      <c r="F251" s="12"/>
      <c r="G251" s="12"/>
      <c r="H251" s="12"/>
      <c r="I251" s="12"/>
    </row>
    <row r="252" spans="4:9">
      <c r="D252" s="16">
        <v>173</v>
      </c>
      <c r="E252" s="12"/>
      <c r="F252" s="12"/>
      <c r="G252" s="12"/>
      <c r="H252" s="12"/>
      <c r="I252" s="12"/>
    </row>
    <row r="253" spans="4:9">
      <c r="D253" s="16">
        <v>174</v>
      </c>
      <c r="E253" s="12"/>
      <c r="F253" s="12"/>
      <c r="G253" s="12"/>
      <c r="H253" s="12"/>
      <c r="I253" s="12"/>
    </row>
    <row r="254" spans="4:9">
      <c r="D254" s="16">
        <v>175</v>
      </c>
      <c r="E254" s="12"/>
      <c r="F254" s="12"/>
      <c r="G254" s="12"/>
      <c r="H254" s="12"/>
      <c r="I254" s="12"/>
    </row>
    <row r="255" spans="4:9">
      <c r="D255" s="16">
        <v>176</v>
      </c>
      <c r="E255" s="12"/>
      <c r="F255" s="12"/>
      <c r="G255" s="12"/>
      <c r="H255" s="12"/>
      <c r="I255" s="12"/>
    </row>
    <row r="256" spans="4:9">
      <c r="D256" s="16">
        <v>177</v>
      </c>
      <c r="E256" s="12"/>
      <c r="F256" s="12"/>
      <c r="G256" s="12"/>
      <c r="H256" s="12"/>
      <c r="I256" s="12"/>
    </row>
    <row r="257" spans="4:9">
      <c r="D257" s="16">
        <v>178</v>
      </c>
      <c r="E257" s="12"/>
      <c r="F257" s="12"/>
      <c r="G257" s="12"/>
      <c r="H257" s="12"/>
      <c r="I257" s="12"/>
    </row>
    <row r="258" spans="4:9">
      <c r="D258" s="16">
        <v>179</v>
      </c>
      <c r="E258" s="12"/>
      <c r="F258" s="12"/>
      <c r="G258" s="12"/>
      <c r="H258" s="12"/>
      <c r="I258" s="12"/>
    </row>
    <row r="259" spans="4:9">
      <c r="D259" s="16">
        <v>180</v>
      </c>
      <c r="E259" s="12"/>
      <c r="F259" s="12"/>
      <c r="G259" s="12"/>
      <c r="H259" s="12"/>
      <c r="I259" s="12"/>
    </row>
    <row r="260" spans="4:9">
      <c r="D260" s="16">
        <v>181</v>
      </c>
      <c r="E260" s="12"/>
      <c r="F260" s="12"/>
      <c r="G260" s="12"/>
      <c r="H260" s="12"/>
      <c r="I260" s="12"/>
    </row>
    <row r="261" spans="4:9">
      <c r="D261" s="16">
        <v>182</v>
      </c>
      <c r="E261" s="12"/>
      <c r="F261" s="12"/>
      <c r="G261" s="12"/>
      <c r="H261" s="12"/>
      <c r="I261" s="12"/>
    </row>
    <row r="262" spans="4:9">
      <c r="D262" s="16">
        <v>183</v>
      </c>
      <c r="E262" s="12"/>
      <c r="F262" s="12"/>
      <c r="G262" s="12"/>
      <c r="H262" s="12"/>
      <c r="I262" s="12"/>
    </row>
    <row r="263" spans="4:9">
      <c r="D263" s="16">
        <v>184</v>
      </c>
      <c r="E263" s="12"/>
      <c r="F263" s="12"/>
      <c r="G263" s="12"/>
      <c r="H263" s="12"/>
      <c r="I263" s="12"/>
    </row>
    <row r="264" spans="4:9">
      <c r="D264" s="16">
        <v>185</v>
      </c>
      <c r="E264" s="12"/>
      <c r="F264" s="12"/>
      <c r="G264" s="12"/>
      <c r="H264" s="12"/>
      <c r="I264" s="12"/>
    </row>
    <row r="265" spans="4:9">
      <c r="D265" s="16">
        <v>186</v>
      </c>
      <c r="E265" s="12"/>
      <c r="F265" s="12"/>
      <c r="G265" s="12"/>
      <c r="H265" s="12"/>
      <c r="I265" s="12"/>
    </row>
    <row r="266" spans="4:9">
      <c r="D266" s="16">
        <v>187</v>
      </c>
      <c r="E266" s="12"/>
      <c r="F266" s="12"/>
      <c r="G266" s="12"/>
      <c r="H266" s="12"/>
      <c r="I266" s="12"/>
    </row>
    <row r="267" spans="4:9">
      <c r="D267" s="16">
        <v>188</v>
      </c>
      <c r="E267" s="12"/>
      <c r="F267" s="12"/>
      <c r="G267" s="12"/>
      <c r="H267" s="12"/>
      <c r="I267" s="12"/>
    </row>
    <row r="268" spans="4:9">
      <c r="D268" s="16">
        <v>189</v>
      </c>
      <c r="E268" s="12"/>
      <c r="F268" s="12"/>
      <c r="G268" s="12"/>
      <c r="H268" s="12"/>
      <c r="I268" s="12"/>
    </row>
    <row r="269" spans="4:9">
      <c r="D269" s="16">
        <v>190</v>
      </c>
      <c r="E269" s="12"/>
      <c r="F269" s="12"/>
      <c r="G269" s="12"/>
      <c r="H269" s="12"/>
      <c r="I269" s="12"/>
    </row>
    <row r="270" spans="4:9">
      <c r="D270" s="16">
        <v>191</v>
      </c>
      <c r="E270" s="12"/>
      <c r="F270" s="12"/>
      <c r="G270" s="12"/>
      <c r="H270" s="12"/>
      <c r="I270" s="12"/>
    </row>
    <row r="271" spans="4:9">
      <c r="D271" s="16">
        <v>192</v>
      </c>
      <c r="E271" s="12"/>
      <c r="F271" s="12"/>
      <c r="G271" s="12"/>
      <c r="H271" s="12"/>
      <c r="I271" s="12"/>
    </row>
    <row r="272" spans="4:9">
      <c r="D272" s="16">
        <v>193</v>
      </c>
      <c r="E272" s="12"/>
      <c r="F272" s="12"/>
      <c r="G272" s="12"/>
      <c r="H272" s="12"/>
      <c r="I272" s="12"/>
    </row>
    <row r="273" spans="4:9">
      <c r="D273" s="16">
        <v>194</v>
      </c>
      <c r="E273" s="12"/>
      <c r="F273" s="12"/>
      <c r="G273" s="12"/>
      <c r="H273" s="12"/>
      <c r="I273" s="12"/>
    </row>
    <row r="274" spans="4:9">
      <c r="D274" s="16">
        <v>195</v>
      </c>
      <c r="E274" s="12"/>
      <c r="F274" s="12"/>
      <c r="G274" s="12"/>
      <c r="H274" s="12"/>
      <c r="I274" s="12"/>
    </row>
    <row r="275" spans="4:9">
      <c r="D275" s="16">
        <v>196</v>
      </c>
      <c r="E275" s="12"/>
      <c r="F275" s="12"/>
      <c r="G275" s="12"/>
      <c r="H275" s="12"/>
      <c r="I275" s="12"/>
    </row>
    <row r="276" spans="4:9">
      <c r="D276" s="16">
        <v>197</v>
      </c>
      <c r="E276" s="12"/>
      <c r="F276" s="12"/>
      <c r="G276" s="12"/>
      <c r="H276" s="12"/>
      <c r="I276" s="12"/>
    </row>
    <row r="277" spans="4:9">
      <c r="D277" s="16">
        <v>198</v>
      </c>
      <c r="E277" s="12"/>
      <c r="F277" s="12"/>
      <c r="G277" s="12"/>
      <c r="H277" s="12"/>
      <c r="I277" s="12"/>
    </row>
    <row r="278" spans="4:9">
      <c r="D278" s="16">
        <v>199</v>
      </c>
      <c r="E278" s="12"/>
      <c r="F278" s="12"/>
      <c r="G278" s="12"/>
      <c r="H278" s="12"/>
      <c r="I278" s="12"/>
    </row>
    <row r="279" spans="4:9">
      <c r="D279" s="16">
        <v>200</v>
      </c>
      <c r="E279" s="12"/>
      <c r="F279" s="12"/>
      <c r="G279" s="12"/>
      <c r="H279" s="12"/>
      <c r="I279" s="12"/>
    </row>
    <row r="280" spans="4:9">
      <c r="D280" s="16">
        <v>201</v>
      </c>
      <c r="E280" s="12"/>
      <c r="F280" s="12"/>
      <c r="G280" s="12"/>
      <c r="H280" s="12"/>
      <c r="I280" s="12"/>
    </row>
    <row r="281" spans="4:9">
      <c r="D281" s="16">
        <v>202</v>
      </c>
      <c r="E281" s="12"/>
      <c r="F281" s="12"/>
      <c r="G281" s="12"/>
      <c r="H281" s="12"/>
      <c r="I281" s="12"/>
    </row>
    <row r="282" spans="4:9">
      <c r="D282" s="16">
        <v>203</v>
      </c>
      <c r="E282" s="12"/>
      <c r="F282" s="12"/>
      <c r="G282" s="12"/>
      <c r="H282" s="12"/>
      <c r="I282" s="12"/>
    </row>
    <row r="283" spans="4:9">
      <c r="D283" s="16">
        <v>204</v>
      </c>
      <c r="E283" s="12"/>
      <c r="F283" s="12"/>
      <c r="G283" s="12"/>
      <c r="H283" s="12"/>
      <c r="I283" s="12"/>
    </row>
    <row r="284" spans="4:9">
      <c r="D284" s="16">
        <v>205</v>
      </c>
      <c r="E284" s="12"/>
      <c r="F284" s="12"/>
      <c r="G284" s="12"/>
      <c r="H284" s="12"/>
      <c r="I284" s="12"/>
    </row>
    <row r="285" spans="4:9">
      <c r="D285" s="16">
        <v>206</v>
      </c>
      <c r="E285" s="12"/>
      <c r="F285" s="12"/>
      <c r="G285" s="12"/>
      <c r="H285" s="12"/>
      <c r="I285" s="12"/>
    </row>
    <row r="286" spans="4:9">
      <c r="D286" s="16">
        <v>207</v>
      </c>
      <c r="E286" s="12"/>
      <c r="F286" s="12"/>
      <c r="G286" s="12"/>
      <c r="H286" s="12"/>
      <c r="I286" s="12"/>
    </row>
    <row r="287" spans="4:9">
      <c r="D287" s="16">
        <v>208</v>
      </c>
      <c r="E287" s="12"/>
      <c r="F287" s="12"/>
      <c r="G287" s="12"/>
      <c r="H287" s="12"/>
      <c r="I287" s="12"/>
    </row>
    <row r="288" spans="4:9">
      <c r="D288" s="16">
        <v>209</v>
      </c>
      <c r="E288" s="12"/>
      <c r="F288" s="12"/>
      <c r="G288" s="12"/>
      <c r="H288" s="12"/>
      <c r="I288" s="12"/>
    </row>
    <row r="289" spans="4:9">
      <c r="D289" s="16">
        <v>210</v>
      </c>
      <c r="E289" s="12"/>
      <c r="F289" s="12"/>
      <c r="G289" s="12"/>
      <c r="H289" s="12"/>
      <c r="I289" s="12"/>
    </row>
    <row r="290" spans="4:9">
      <c r="D290" s="16">
        <v>211</v>
      </c>
      <c r="E290" s="12"/>
      <c r="F290" s="12"/>
      <c r="G290" s="12"/>
      <c r="H290" s="12"/>
      <c r="I290" s="12"/>
    </row>
    <row r="291" spans="4:9">
      <c r="D291" s="16">
        <v>212</v>
      </c>
      <c r="E291" s="12"/>
      <c r="F291" s="12"/>
      <c r="G291" s="12"/>
      <c r="H291" s="12"/>
      <c r="I291" s="12"/>
    </row>
    <row r="292" spans="4:9">
      <c r="D292" s="16">
        <v>213</v>
      </c>
      <c r="E292" s="12"/>
      <c r="F292" s="12"/>
      <c r="G292" s="12"/>
      <c r="H292" s="12"/>
      <c r="I292" s="12"/>
    </row>
    <row r="293" spans="4:9">
      <c r="D293" s="16">
        <v>214</v>
      </c>
      <c r="E293" s="12"/>
      <c r="F293" s="12"/>
      <c r="G293" s="12"/>
      <c r="H293" s="12"/>
      <c r="I293" s="12"/>
    </row>
    <row r="294" spans="4:9">
      <c r="D294" s="16">
        <v>215</v>
      </c>
      <c r="E294" s="12"/>
      <c r="F294" s="12"/>
      <c r="G294" s="12"/>
      <c r="H294" s="12"/>
      <c r="I294" s="12"/>
    </row>
    <row r="295" spans="4:9">
      <c r="D295" s="16">
        <v>216</v>
      </c>
      <c r="E295" s="12"/>
      <c r="F295" s="12"/>
      <c r="G295" s="12"/>
      <c r="H295" s="12"/>
      <c r="I295" s="12"/>
    </row>
    <row r="296" spans="4:9">
      <c r="D296" s="16">
        <v>217</v>
      </c>
      <c r="E296" s="12"/>
      <c r="F296" s="12"/>
      <c r="G296" s="12"/>
      <c r="H296" s="12"/>
      <c r="I296" s="12"/>
    </row>
    <row r="297" spans="4:9">
      <c r="D297" s="16">
        <v>218</v>
      </c>
      <c r="E297" s="12"/>
      <c r="F297" s="12"/>
      <c r="G297" s="12"/>
      <c r="H297" s="12"/>
      <c r="I297" s="12"/>
    </row>
    <row r="298" spans="4:9">
      <c r="D298" s="16">
        <v>219</v>
      </c>
      <c r="E298" s="12"/>
      <c r="F298" s="12"/>
      <c r="G298" s="12"/>
      <c r="H298" s="12"/>
      <c r="I298" s="12"/>
    </row>
    <row r="299" spans="4:9">
      <c r="D299" s="16">
        <v>220</v>
      </c>
      <c r="E299" s="12"/>
      <c r="F299" s="12"/>
      <c r="G299" s="12"/>
      <c r="H299" s="12"/>
      <c r="I299" s="12"/>
    </row>
    <row r="300" spans="4:9">
      <c r="D300" s="16">
        <v>221</v>
      </c>
      <c r="E300" s="12"/>
      <c r="F300" s="12"/>
      <c r="G300" s="12"/>
      <c r="H300" s="12"/>
      <c r="I300" s="12"/>
    </row>
    <row r="301" spans="4:9">
      <c r="D301" s="16">
        <v>222</v>
      </c>
      <c r="E301" s="12"/>
      <c r="F301" s="12"/>
      <c r="G301" s="12"/>
      <c r="H301" s="12"/>
      <c r="I301" s="12"/>
    </row>
    <row r="302" spans="4:9">
      <c r="D302" s="16">
        <v>223</v>
      </c>
      <c r="E302" s="12"/>
      <c r="F302" s="12"/>
      <c r="G302" s="12"/>
      <c r="H302" s="12"/>
      <c r="I302" s="12"/>
    </row>
    <row r="303" spans="4:9">
      <c r="D303" s="16">
        <v>224</v>
      </c>
      <c r="E303" s="12"/>
      <c r="F303" s="12"/>
      <c r="G303" s="12"/>
      <c r="H303" s="12"/>
      <c r="I303" s="12"/>
    </row>
    <row r="304" spans="4:9">
      <c r="D304" s="16">
        <v>225</v>
      </c>
      <c r="E304" s="12"/>
      <c r="F304" s="12"/>
      <c r="G304" s="12"/>
      <c r="H304" s="12"/>
      <c r="I304" s="12"/>
    </row>
    <row r="305" spans="4:9">
      <c r="D305" s="16">
        <v>226</v>
      </c>
      <c r="E305" s="12"/>
      <c r="F305" s="12"/>
      <c r="G305" s="12"/>
      <c r="H305" s="12"/>
      <c r="I305" s="12"/>
    </row>
    <row r="306" spans="4:9">
      <c r="D306" s="16">
        <v>227</v>
      </c>
      <c r="E306" s="12"/>
      <c r="F306" s="12"/>
      <c r="G306" s="12"/>
      <c r="H306" s="12"/>
      <c r="I306" s="12"/>
    </row>
    <row r="307" spans="4:9">
      <c r="D307" s="16">
        <v>228</v>
      </c>
      <c r="E307" s="12"/>
      <c r="F307" s="12"/>
      <c r="G307" s="12"/>
      <c r="H307" s="12"/>
      <c r="I307" s="12"/>
    </row>
    <row r="308" spans="4:9">
      <c r="D308" s="16">
        <v>229</v>
      </c>
      <c r="E308" s="12"/>
      <c r="F308" s="12"/>
      <c r="G308" s="12"/>
      <c r="H308" s="12"/>
      <c r="I308" s="12"/>
    </row>
    <row r="309" spans="4:9">
      <c r="D309" s="16">
        <v>230</v>
      </c>
      <c r="E309" s="12"/>
      <c r="F309" s="12"/>
      <c r="G309" s="12"/>
      <c r="H309" s="12"/>
      <c r="I309" s="12"/>
    </row>
    <row r="310" spans="4:9">
      <c r="D310" s="16">
        <v>231</v>
      </c>
      <c r="E310" s="12"/>
      <c r="F310" s="12"/>
      <c r="G310" s="12"/>
      <c r="H310" s="12"/>
      <c r="I310" s="12"/>
    </row>
    <row r="311" spans="4:9">
      <c r="D311" s="16">
        <v>232</v>
      </c>
      <c r="E311" s="12"/>
      <c r="F311" s="12"/>
      <c r="G311" s="12"/>
      <c r="H311" s="12"/>
      <c r="I311" s="12"/>
    </row>
    <row r="312" spans="4:9">
      <c r="D312" s="16">
        <v>233</v>
      </c>
      <c r="E312" s="12"/>
      <c r="F312" s="12"/>
      <c r="G312" s="12"/>
      <c r="H312" s="12"/>
      <c r="I312" s="12"/>
    </row>
    <row r="313" spans="4:9">
      <c r="D313" s="16">
        <v>234</v>
      </c>
      <c r="E313" s="12"/>
      <c r="F313" s="12"/>
      <c r="G313" s="12"/>
      <c r="H313" s="12"/>
      <c r="I313" s="12"/>
    </row>
    <row r="314" spans="4:9">
      <c r="D314" s="16">
        <v>235</v>
      </c>
      <c r="E314" s="12"/>
      <c r="F314" s="12"/>
      <c r="G314" s="12"/>
      <c r="H314" s="12"/>
      <c r="I314" s="12"/>
    </row>
    <row r="315" spans="4:9">
      <c r="D315" s="16">
        <v>236</v>
      </c>
      <c r="E315" s="12"/>
      <c r="F315" s="12"/>
      <c r="G315" s="12"/>
      <c r="H315" s="12"/>
      <c r="I315" s="12"/>
    </row>
    <row r="316" spans="4:9">
      <c r="D316" s="16">
        <v>237</v>
      </c>
      <c r="E316" s="12"/>
      <c r="F316" s="12"/>
      <c r="G316" s="12"/>
      <c r="H316" s="12"/>
      <c r="I316" s="12"/>
    </row>
    <row r="317" spans="4:9">
      <c r="D317" s="16">
        <v>238</v>
      </c>
      <c r="E317" s="12"/>
      <c r="F317" s="12"/>
      <c r="G317" s="12"/>
      <c r="H317" s="12"/>
      <c r="I317" s="12"/>
    </row>
    <row r="318" spans="4:9">
      <c r="D318" s="16">
        <v>239</v>
      </c>
      <c r="E318" s="12"/>
      <c r="F318" s="12"/>
      <c r="G318" s="12"/>
      <c r="H318" s="12"/>
      <c r="I318" s="12"/>
    </row>
    <row r="319" spans="4:9">
      <c r="D319" s="16">
        <v>240</v>
      </c>
      <c r="E319" s="12"/>
      <c r="F319" s="12"/>
      <c r="G319" s="12"/>
      <c r="H319" s="12"/>
      <c r="I319" s="12"/>
    </row>
    <row r="320" spans="4:9">
      <c r="D320" s="16">
        <v>241</v>
      </c>
      <c r="E320" s="12"/>
      <c r="F320" s="12"/>
      <c r="G320" s="12"/>
      <c r="H320" s="12"/>
      <c r="I320" s="12"/>
    </row>
    <row r="321" spans="4:9">
      <c r="D321" s="16">
        <v>242</v>
      </c>
      <c r="E321" s="12"/>
      <c r="F321" s="12"/>
      <c r="G321" s="12"/>
      <c r="H321" s="12"/>
      <c r="I321" s="12"/>
    </row>
    <row r="322" spans="4:9">
      <c r="D322" s="16">
        <v>243</v>
      </c>
      <c r="E322" s="12"/>
      <c r="F322" s="12"/>
      <c r="G322" s="12"/>
      <c r="H322" s="12"/>
      <c r="I322" s="12"/>
    </row>
    <row r="323" spans="4:9">
      <c r="D323" s="16">
        <v>244</v>
      </c>
      <c r="E323" s="12"/>
      <c r="F323" s="12"/>
      <c r="G323" s="12"/>
      <c r="H323" s="12"/>
      <c r="I323" s="12"/>
    </row>
    <row r="324" spans="4:9">
      <c r="D324" s="16">
        <v>245</v>
      </c>
      <c r="E324" s="12"/>
      <c r="F324" s="12"/>
      <c r="G324" s="12"/>
      <c r="H324" s="12"/>
      <c r="I324" s="12"/>
    </row>
    <row r="325" spans="4:9">
      <c r="D325" s="16">
        <v>246</v>
      </c>
      <c r="E325" s="12"/>
      <c r="F325" s="12"/>
      <c r="G325" s="12"/>
      <c r="H325" s="12"/>
      <c r="I325" s="12"/>
    </row>
    <row r="326" spans="4:9">
      <c r="D326" s="16">
        <v>247</v>
      </c>
      <c r="E326" s="12"/>
      <c r="F326" s="12"/>
      <c r="G326" s="12"/>
      <c r="H326" s="12"/>
      <c r="I326" s="12"/>
    </row>
    <row r="327" spans="4:9">
      <c r="D327" s="16">
        <v>248</v>
      </c>
      <c r="E327" s="12"/>
      <c r="F327" s="12"/>
      <c r="G327" s="12"/>
      <c r="H327" s="12"/>
      <c r="I327" s="12"/>
    </row>
    <row r="328" spans="4:9">
      <c r="D328" s="16">
        <v>249</v>
      </c>
      <c r="E328" s="12"/>
      <c r="F328" s="12"/>
      <c r="G328" s="12"/>
      <c r="H328" s="12"/>
      <c r="I328" s="12"/>
    </row>
    <row r="329" spans="4:9">
      <c r="D329" s="16">
        <v>250</v>
      </c>
      <c r="E329" s="12"/>
      <c r="F329" s="12"/>
      <c r="G329" s="12"/>
      <c r="H329" s="12"/>
      <c r="I329" s="12"/>
    </row>
    <row r="330" spans="4:9">
      <c r="D330" s="16">
        <v>251</v>
      </c>
      <c r="E330" s="12"/>
      <c r="F330" s="12"/>
      <c r="G330" s="12"/>
      <c r="H330" s="12"/>
      <c r="I330" s="12"/>
    </row>
    <row r="331" spans="4:9">
      <c r="D331" s="16">
        <v>252</v>
      </c>
      <c r="E331" s="12"/>
      <c r="F331" s="12"/>
      <c r="G331" s="12"/>
      <c r="H331" s="12"/>
      <c r="I331" s="12"/>
    </row>
    <row r="332" spans="4:9">
      <c r="D332" s="16">
        <v>253</v>
      </c>
      <c r="E332" s="12"/>
      <c r="F332" s="12"/>
      <c r="G332" s="12"/>
      <c r="H332" s="12"/>
      <c r="I332" s="12"/>
    </row>
    <row r="333" spans="4:9">
      <c r="D333" s="16">
        <v>254</v>
      </c>
      <c r="E333" s="12"/>
      <c r="F333" s="12"/>
      <c r="G333" s="12"/>
      <c r="H333" s="12"/>
      <c r="I333" s="12"/>
    </row>
    <row r="334" spans="4:9">
      <c r="D334" s="16">
        <v>255</v>
      </c>
      <c r="E334" s="12"/>
      <c r="F334" s="12"/>
      <c r="G334" s="12"/>
      <c r="H334" s="12"/>
      <c r="I334" s="12"/>
    </row>
    <row r="335" spans="4:9">
      <c r="D335" s="16">
        <v>256</v>
      </c>
      <c r="E335" s="12"/>
      <c r="F335" s="12"/>
      <c r="G335" s="12"/>
      <c r="H335" s="12"/>
      <c r="I335" s="12"/>
    </row>
    <row r="336" spans="4:9">
      <c r="D336" s="16">
        <v>257</v>
      </c>
      <c r="E336" s="12"/>
      <c r="F336" s="12"/>
      <c r="G336" s="12"/>
      <c r="H336" s="12"/>
      <c r="I336" s="12"/>
    </row>
    <row r="337" spans="4:9">
      <c r="D337" s="16">
        <v>258</v>
      </c>
      <c r="E337" s="12"/>
      <c r="F337" s="12"/>
      <c r="G337" s="12"/>
      <c r="H337" s="12"/>
      <c r="I337" s="12"/>
    </row>
    <row r="338" spans="4:9">
      <c r="D338" s="16">
        <v>259</v>
      </c>
      <c r="E338" s="12"/>
      <c r="F338" s="12"/>
      <c r="G338" s="12"/>
      <c r="H338" s="12"/>
      <c r="I338" s="12"/>
    </row>
    <row r="339" spans="4:9">
      <c r="D339" s="16">
        <v>260</v>
      </c>
      <c r="E339" s="12"/>
      <c r="F339" s="12"/>
      <c r="G339" s="12"/>
      <c r="H339" s="12"/>
      <c r="I339" s="12"/>
    </row>
    <row r="340" spans="4:9">
      <c r="D340" s="16">
        <v>261</v>
      </c>
      <c r="E340" s="12"/>
      <c r="F340" s="12"/>
      <c r="G340" s="12"/>
      <c r="H340" s="12"/>
      <c r="I340" s="12"/>
    </row>
    <row r="341" spans="4:9">
      <c r="D341" s="16">
        <v>262</v>
      </c>
      <c r="E341" s="12"/>
      <c r="F341" s="12"/>
      <c r="G341" s="12"/>
      <c r="H341" s="12"/>
      <c r="I341" s="12"/>
    </row>
    <row r="342" spans="4:9">
      <c r="D342" s="16">
        <v>263</v>
      </c>
      <c r="E342" s="12"/>
      <c r="F342" s="12"/>
      <c r="G342" s="12"/>
      <c r="H342" s="12"/>
      <c r="I342" s="12"/>
    </row>
    <row r="343" spans="4:9">
      <c r="D343" s="16">
        <v>264</v>
      </c>
      <c r="E343" s="12"/>
      <c r="F343" s="12"/>
      <c r="G343" s="12"/>
      <c r="H343" s="12"/>
      <c r="I343" s="12"/>
    </row>
    <row r="344" spans="4:9">
      <c r="D344" s="16">
        <v>265</v>
      </c>
      <c r="E344" s="12"/>
      <c r="F344" s="12"/>
      <c r="G344" s="12"/>
      <c r="H344" s="12"/>
      <c r="I344" s="12"/>
    </row>
    <row r="345" spans="4:9">
      <c r="D345" s="16">
        <v>266</v>
      </c>
      <c r="E345" s="12"/>
      <c r="F345" s="12"/>
      <c r="G345" s="12"/>
      <c r="H345" s="12"/>
      <c r="I345" s="12"/>
    </row>
    <row r="346" spans="4:9">
      <c r="D346" s="16">
        <v>267</v>
      </c>
      <c r="E346" s="12"/>
      <c r="F346" s="12"/>
      <c r="G346" s="12"/>
      <c r="H346" s="12"/>
      <c r="I346" s="12"/>
    </row>
    <row r="347" spans="4:9">
      <c r="D347" s="16">
        <v>268</v>
      </c>
      <c r="E347" s="12"/>
      <c r="F347" s="12"/>
      <c r="G347" s="12"/>
      <c r="H347" s="12"/>
      <c r="I347" s="12"/>
    </row>
    <row r="348" spans="4:9">
      <c r="D348" s="16">
        <v>269</v>
      </c>
      <c r="E348" s="12"/>
      <c r="F348" s="12"/>
      <c r="G348" s="12"/>
      <c r="H348" s="12"/>
      <c r="I348" s="12"/>
    </row>
    <row r="349" spans="4:9">
      <c r="D349" s="16">
        <v>270</v>
      </c>
      <c r="E349" s="12"/>
      <c r="F349" s="12"/>
      <c r="G349" s="12"/>
      <c r="H349" s="12"/>
      <c r="I349" s="12"/>
    </row>
    <row r="350" spans="4:9">
      <c r="D350" s="16">
        <v>271</v>
      </c>
      <c r="E350" s="12"/>
      <c r="F350" s="12"/>
      <c r="G350" s="12"/>
      <c r="H350" s="12"/>
      <c r="I350" s="12"/>
    </row>
    <row r="351" spans="4:9">
      <c r="D351" s="16">
        <v>272</v>
      </c>
      <c r="E351" s="12"/>
      <c r="F351" s="12"/>
      <c r="G351" s="12"/>
      <c r="H351" s="12"/>
      <c r="I351" s="12"/>
    </row>
    <row r="352" spans="4:9">
      <c r="D352" s="16">
        <v>273</v>
      </c>
      <c r="E352" s="12"/>
      <c r="F352" s="12"/>
      <c r="G352" s="12"/>
      <c r="H352" s="12"/>
      <c r="I352" s="12"/>
    </row>
    <row r="353" spans="4:9">
      <c r="D353" s="16">
        <v>274</v>
      </c>
      <c r="E353" s="12"/>
      <c r="F353" s="12"/>
      <c r="G353" s="12"/>
      <c r="H353" s="12"/>
      <c r="I353" s="12"/>
    </row>
    <row r="354" spans="4:9">
      <c r="D354" s="16">
        <v>275</v>
      </c>
      <c r="E354" s="12"/>
      <c r="F354" s="12"/>
      <c r="G354" s="12"/>
      <c r="H354" s="12"/>
      <c r="I354" s="12"/>
    </row>
    <row r="355" spans="4:9">
      <c r="D355" s="16">
        <v>276</v>
      </c>
      <c r="E355" s="12"/>
      <c r="F355" s="12"/>
      <c r="G355" s="12"/>
      <c r="H355" s="12"/>
      <c r="I355" s="12"/>
    </row>
    <row r="356" spans="4:9">
      <c r="D356" s="16">
        <v>277</v>
      </c>
      <c r="E356" s="12"/>
      <c r="F356" s="12"/>
      <c r="G356" s="12"/>
      <c r="H356" s="12"/>
      <c r="I356" s="12"/>
    </row>
    <row r="357" spans="4:9">
      <c r="D357" s="16">
        <v>278</v>
      </c>
      <c r="E357" s="12"/>
      <c r="F357" s="12"/>
      <c r="G357" s="12"/>
      <c r="H357" s="12"/>
      <c r="I357" s="12"/>
    </row>
    <row r="358" spans="4:9">
      <c r="D358" s="16">
        <v>279</v>
      </c>
      <c r="E358" s="12"/>
      <c r="F358" s="12"/>
      <c r="G358" s="12"/>
      <c r="H358" s="12"/>
      <c r="I358" s="12"/>
    </row>
    <row r="359" spans="4:9">
      <c r="D359" s="16">
        <v>280</v>
      </c>
      <c r="E359" s="12"/>
      <c r="F359" s="12"/>
      <c r="G359" s="12"/>
      <c r="H359" s="12"/>
      <c r="I359" s="12"/>
    </row>
    <row r="360" spans="4:9">
      <c r="D360" s="16">
        <v>281</v>
      </c>
      <c r="E360" s="12"/>
      <c r="F360" s="12"/>
      <c r="G360" s="12"/>
      <c r="H360" s="12"/>
      <c r="I360" s="12"/>
    </row>
    <row r="361" spans="4:9">
      <c r="D361" s="16">
        <v>282</v>
      </c>
      <c r="E361" s="12"/>
      <c r="F361" s="12"/>
      <c r="G361" s="12"/>
      <c r="H361" s="12"/>
      <c r="I361" s="12"/>
    </row>
    <row r="362" spans="4:9">
      <c r="D362" s="16">
        <v>283</v>
      </c>
      <c r="E362" s="12"/>
      <c r="F362" s="12"/>
      <c r="G362" s="12"/>
      <c r="H362" s="12"/>
      <c r="I362" s="12"/>
    </row>
    <row r="363" spans="4:9">
      <c r="D363" s="16">
        <v>284</v>
      </c>
      <c r="E363" s="12"/>
      <c r="F363" s="12"/>
      <c r="G363" s="12"/>
      <c r="H363" s="12"/>
      <c r="I363" s="12"/>
    </row>
    <row r="364" spans="4:9">
      <c r="D364" s="16">
        <v>285</v>
      </c>
      <c r="E364" s="12"/>
      <c r="F364" s="12"/>
      <c r="G364" s="12"/>
      <c r="H364" s="12"/>
      <c r="I364" s="12"/>
    </row>
    <row r="365" spans="4:9">
      <c r="D365" s="16">
        <v>286</v>
      </c>
      <c r="E365" s="12"/>
      <c r="F365" s="12"/>
      <c r="G365" s="12"/>
      <c r="H365" s="12"/>
      <c r="I365" s="12"/>
    </row>
    <row r="366" spans="4:9">
      <c r="D366" s="16">
        <v>287</v>
      </c>
      <c r="E366" s="12"/>
      <c r="F366" s="12"/>
      <c r="G366" s="12"/>
      <c r="H366" s="12"/>
      <c r="I366" s="12"/>
    </row>
    <row r="367" spans="4:9">
      <c r="D367" s="16">
        <v>288</v>
      </c>
      <c r="E367" s="12"/>
      <c r="F367" s="12"/>
      <c r="G367" s="12"/>
      <c r="H367" s="12"/>
      <c r="I367" s="12"/>
    </row>
    <row r="368" spans="4:9">
      <c r="D368" s="16">
        <v>289</v>
      </c>
      <c r="E368" s="12"/>
      <c r="F368" s="12"/>
      <c r="G368" s="12"/>
      <c r="H368" s="12"/>
      <c r="I368" s="12"/>
    </row>
    <row r="369" spans="4:9">
      <c r="D369" s="16">
        <v>290</v>
      </c>
      <c r="E369" s="12"/>
      <c r="F369" s="12"/>
      <c r="G369" s="12"/>
      <c r="H369" s="12"/>
      <c r="I369" s="12"/>
    </row>
    <row r="370" spans="4:9">
      <c r="D370" s="16">
        <v>291</v>
      </c>
      <c r="E370" s="12"/>
      <c r="F370" s="12"/>
      <c r="G370" s="12"/>
      <c r="H370" s="12"/>
      <c r="I370" s="12"/>
    </row>
    <row r="371" spans="4:9">
      <c r="D371" s="16">
        <v>292</v>
      </c>
      <c r="E371" s="12"/>
      <c r="F371" s="12"/>
      <c r="G371" s="12"/>
      <c r="H371" s="12"/>
      <c r="I371" s="12"/>
    </row>
    <row r="372" spans="4:9">
      <c r="D372" s="16">
        <v>293</v>
      </c>
      <c r="E372" s="12"/>
      <c r="F372" s="12"/>
      <c r="G372" s="12"/>
      <c r="H372" s="12"/>
      <c r="I372" s="12"/>
    </row>
    <row r="373" spans="4:9">
      <c r="D373" s="16">
        <v>294</v>
      </c>
      <c r="E373" s="12"/>
      <c r="F373" s="12"/>
      <c r="G373" s="12"/>
      <c r="H373" s="12"/>
      <c r="I373" s="12"/>
    </row>
    <row r="374" spans="4:9">
      <c r="D374" s="16">
        <v>295</v>
      </c>
      <c r="E374" s="12"/>
      <c r="F374" s="12"/>
      <c r="G374" s="12"/>
      <c r="H374" s="12"/>
      <c r="I374" s="12"/>
    </row>
    <row r="375" spans="4:9">
      <c r="D375" s="16">
        <v>296</v>
      </c>
      <c r="E375" s="12"/>
      <c r="F375" s="12"/>
      <c r="G375" s="12"/>
      <c r="H375" s="12"/>
      <c r="I375" s="12"/>
    </row>
    <row r="376" spans="4:9">
      <c r="D376" s="16">
        <v>297</v>
      </c>
      <c r="E376" s="12"/>
      <c r="F376" s="12"/>
      <c r="G376" s="12"/>
      <c r="H376" s="12"/>
      <c r="I376" s="12"/>
    </row>
    <row r="377" spans="4:9">
      <c r="D377" s="16">
        <v>298</v>
      </c>
      <c r="E377" s="12"/>
      <c r="F377" s="12"/>
      <c r="G377" s="12"/>
      <c r="H377" s="12"/>
      <c r="I377" s="12"/>
    </row>
    <row r="378" spans="4:9">
      <c r="D378" s="16">
        <v>299</v>
      </c>
      <c r="E378" s="12"/>
      <c r="F378" s="12"/>
      <c r="G378" s="12"/>
      <c r="H378" s="12"/>
      <c r="I378" s="12"/>
    </row>
    <row r="379" spans="4:9">
      <c r="D379" s="16">
        <v>300</v>
      </c>
      <c r="E379" s="12"/>
      <c r="F379" s="12"/>
      <c r="G379" s="12"/>
      <c r="H379" s="12"/>
      <c r="I379" s="12"/>
    </row>
    <row r="380" spans="4:9">
      <c r="D380" s="16">
        <v>301</v>
      </c>
      <c r="E380" s="12"/>
      <c r="F380" s="12"/>
      <c r="G380" s="12"/>
      <c r="H380" s="12"/>
      <c r="I380" s="12"/>
    </row>
    <row r="381" spans="4:9">
      <c r="D381" s="16">
        <v>302</v>
      </c>
      <c r="E381" s="12"/>
      <c r="F381" s="12"/>
      <c r="G381" s="12"/>
      <c r="H381" s="12"/>
      <c r="I381" s="12"/>
    </row>
    <row r="382" spans="4:9">
      <c r="D382" s="16">
        <v>303</v>
      </c>
      <c r="E382" s="12"/>
      <c r="F382" s="12"/>
      <c r="G382" s="12"/>
      <c r="H382" s="12"/>
      <c r="I382" s="12"/>
    </row>
    <row r="383" spans="4:9">
      <c r="D383" s="16">
        <v>304</v>
      </c>
      <c r="E383" s="12"/>
      <c r="F383" s="12"/>
      <c r="G383" s="12"/>
      <c r="H383" s="12"/>
      <c r="I383" s="12"/>
    </row>
    <row r="384" spans="4:9">
      <c r="D384" s="16">
        <v>305</v>
      </c>
      <c r="E384" s="12"/>
      <c r="F384" s="12"/>
      <c r="G384" s="12"/>
      <c r="H384" s="12"/>
      <c r="I384" s="12"/>
    </row>
    <row r="385" spans="4:9">
      <c r="D385" s="16">
        <v>306</v>
      </c>
      <c r="E385" s="12"/>
      <c r="F385" s="12"/>
      <c r="G385" s="12"/>
      <c r="H385" s="12"/>
      <c r="I385" s="12"/>
    </row>
    <row r="386" spans="4:9">
      <c r="D386" s="16">
        <v>307</v>
      </c>
      <c r="E386" s="12"/>
      <c r="F386" s="12"/>
      <c r="G386" s="12"/>
      <c r="H386" s="12"/>
      <c r="I386" s="12"/>
    </row>
    <row r="387" spans="4:9">
      <c r="D387" s="16">
        <v>308</v>
      </c>
      <c r="E387" s="12"/>
      <c r="F387" s="12"/>
      <c r="G387" s="12"/>
      <c r="H387" s="12"/>
      <c r="I387" s="12"/>
    </row>
    <row r="388" spans="4:9">
      <c r="D388" s="16">
        <v>309</v>
      </c>
      <c r="E388" s="12"/>
      <c r="F388" s="12"/>
      <c r="G388" s="12"/>
      <c r="H388" s="12"/>
      <c r="I388" s="12"/>
    </row>
    <row r="389" spans="4:9">
      <c r="D389" s="16">
        <v>310</v>
      </c>
      <c r="E389" s="12"/>
      <c r="F389" s="12"/>
      <c r="G389" s="12"/>
      <c r="H389" s="12"/>
      <c r="I389" s="12"/>
    </row>
    <row r="390" spans="4:9">
      <c r="D390" s="16">
        <v>311</v>
      </c>
      <c r="E390" s="12"/>
      <c r="F390" s="12"/>
      <c r="G390" s="12"/>
      <c r="H390" s="12"/>
      <c r="I390" s="12"/>
    </row>
    <row r="391" spans="4:9">
      <c r="D391" s="16">
        <v>312</v>
      </c>
      <c r="E391" s="12"/>
      <c r="F391" s="12"/>
      <c r="G391" s="12"/>
      <c r="H391" s="12"/>
      <c r="I391" s="12"/>
    </row>
    <row r="392" spans="4:9">
      <c r="D392" s="16">
        <v>313</v>
      </c>
      <c r="E392" s="12"/>
      <c r="F392" s="12"/>
      <c r="G392" s="12"/>
      <c r="H392" s="12"/>
      <c r="I392" s="12"/>
    </row>
    <row r="393" spans="4:9">
      <c r="D393" s="16">
        <v>314</v>
      </c>
      <c r="E393" s="12"/>
      <c r="F393" s="12"/>
      <c r="G393" s="12"/>
      <c r="H393" s="12"/>
      <c r="I393" s="12"/>
    </row>
    <row r="394" spans="4:9">
      <c r="D394" s="16">
        <v>315</v>
      </c>
      <c r="E394" s="12"/>
      <c r="F394" s="12"/>
      <c r="G394" s="12"/>
      <c r="H394" s="12"/>
      <c r="I394" s="12"/>
    </row>
    <row r="395" spans="4:9">
      <c r="D395" s="16">
        <v>316</v>
      </c>
      <c r="E395" s="12"/>
      <c r="F395" s="12"/>
      <c r="G395" s="12"/>
      <c r="H395" s="12"/>
      <c r="I395" s="12"/>
    </row>
    <row r="396" spans="4:9">
      <c r="D396" s="16">
        <v>317</v>
      </c>
      <c r="E396" s="12"/>
      <c r="F396" s="12"/>
      <c r="G396" s="12"/>
      <c r="H396" s="12"/>
      <c r="I396" s="12"/>
    </row>
    <row r="397" spans="4:9">
      <c r="D397" s="16">
        <v>318</v>
      </c>
      <c r="E397" s="12"/>
      <c r="F397" s="12"/>
      <c r="G397" s="12"/>
      <c r="H397" s="12"/>
      <c r="I397" s="12"/>
    </row>
    <row r="398" spans="4:9">
      <c r="D398" s="16">
        <v>319</v>
      </c>
      <c r="E398" s="12"/>
      <c r="F398" s="12"/>
      <c r="G398" s="12"/>
      <c r="H398" s="12"/>
      <c r="I398" s="12"/>
    </row>
    <row r="399" spans="4:9">
      <c r="D399" s="16">
        <v>320</v>
      </c>
      <c r="E399" s="12"/>
      <c r="F399" s="12"/>
      <c r="G399" s="12"/>
      <c r="H399" s="12"/>
      <c r="I399" s="12"/>
    </row>
    <row r="400" spans="4:9">
      <c r="D400" s="16">
        <v>321</v>
      </c>
      <c r="E400" s="12"/>
      <c r="F400" s="12"/>
      <c r="G400" s="12"/>
      <c r="H400" s="12"/>
      <c r="I400" s="12"/>
    </row>
    <row r="401" spans="4:9">
      <c r="D401" s="16">
        <v>322</v>
      </c>
      <c r="E401" s="12"/>
      <c r="F401" s="12"/>
      <c r="G401" s="12"/>
      <c r="H401" s="12"/>
      <c r="I401" s="12"/>
    </row>
    <row r="402" spans="4:9">
      <c r="D402" s="16">
        <v>323</v>
      </c>
      <c r="E402" s="12"/>
      <c r="F402" s="12"/>
      <c r="G402" s="12"/>
      <c r="H402" s="12"/>
      <c r="I402" s="12"/>
    </row>
    <row r="403" spans="4:9">
      <c r="D403" s="16">
        <v>324</v>
      </c>
      <c r="E403" s="12"/>
      <c r="F403" s="12"/>
      <c r="G403" s="12"/>
      <c r="H403" s="12"/>
      <c r="I403" s="12"/>
    </row>
    <row r="404" spans="4:9">
      <c r="D404" s="16">
        <v>325</v>
      </c>
      <c r="E404" s="12"/>
      <c r="F404" s="12"/>
      <c r="G404" s="12"/>
      <c r="H404" s="12"/>
      <c r="I404" s="12"/>
    </row>
    <row r="405" spans="4:9">
      <c r="D405" s="16">
        <v>326</v>
      </c>
      <c r="E405" s="12"/>
      <c r="F405" s="12"/>
      <c r="G405" s="12"/>
      <c r="H405" s="12"/>
      <c r="I405" s="12"/>
    </row>
    <row r="406" spans="4:9">
      <c r="D406" s="16">
        <v>327</v>
      </c>
      <c r="E406" s="12"/>
      <c r="F406" s="12"/>
      <c r="G406" s="12"/>
      <c r="H406" s="12"/>
      <c r="I406" s="12"/>
    </row>
    <row r="407" spans="4:9">
      <c r="D407" s="16">
        <v>328</v>
      </c>
      <c r="E407" s="12"/>
      <c r="F407" s="12"/>
      <c r="G407" s="12"/>
      <c r="H407" s="12"/>
      <c r="I407" s="12"/>
    </row>
    <row r="408" spans="4:9">
      <c r="D408" s="16">
        <v>329</v>
      </c>
      <c r="E408" s="12"/>
      <c r="F408" s="12"/>
      <c r="G408" s="12"/>
      <c r="H408" s="12"/>
      <c r="I408" s="12"/>
    </row>
    <row r="409" spans="4:9">
      <c r="D409" s="16">
        <v>330</v>
      </c>
      <c r="E409" s="12"/>
      <c r="F409" s="12"/>
      <c r="G409" s="12"/>
      <c r="H409" s="12"/>
      <c r="I409" s="12"/>
    </row>
    <row r="410" spans="4:9">
      <c r="D410" s="16">
        <v>331</v>
      </c>
      <c r="E410" s="12"/>
      <c r="F410" s="12"/>
      <c r="G410" s="12"/>
      <c r="H410" s="12"/>
      <c r="I410" s="12"/>
    </row>
    <row r="411" spans="4:9">
      <c r="D411" s="16">
        <v>332</v>
      </c>
      <c r="E411" s="12"/>
      <c r="F411" s="12"/>
      <c r="G411" s="12"/>
      <c r="H411" s="12"/>
      <c r="I411" s="12"/>
    </row>
    <row r="412" spans="4:9">
      <c r="D412" s="16">
        <v>333</v>
      </c>
      <c r="E412" s="12"/>
      <c r="F412" s="12"/>
      <c r="G412" s="12"/>
      <c r="H412" s="12"/>
      <c r="I412" s="12"/>
    </row>
    <row r="413" spans="4:9">
      <c r="D413" s="16">
        <v>334</v>
      </c>
      <c r="E413" s="12"/>
      <c r="F413" s="12"/>
      <c r="G413" s="12"/>
      <c r="H413" s="12"/>
      <c r="I413" s="12"/>
    </row>
    <row r="414" spans="4:9">
      <c r="D414" s="16">
        <v>335</v>
      </c>
      <c r="E414" s="12"/>
      <c r="F414" s="12"/>
      <c r="G414" s="12"/>
      <c r="H414" s="12"/>
      <c r="I414" s="12"/>
    </row>
    <row r="415" spans="4:9">
      <c r="D415" s="16">
        <v>336</v>
      </c>
      <c r="E415" s="12"/>
      <c r="F415" s="12"/>
      <c r="G415" s="12"/>
      <c r="H415" s="12"/>
      <c r="I415" s="12"/>
    </row>
    <row r="416" spans="4:9">
      <c r="D416" s="16">
        <v>337</v>
      </c>
      <c r="E416" s="12"/>
      <c r="F416" s="12"/>
      <c r="G416" s="12"/>
      <c r="H416" s="12"/>
      <c r="I416" s="12"/>
    </row>
    <row r="417" spans="4:9">
      <c r="D417" s="16">
        <v>338</v>
      </c>
      <c r="E417" s="12"/>
      <c r="F417" s="12"/>
      <c r="G417" s="12"/>
      <c r="H417" s="12"/>
      <c r="I417" s="12"/>
    </row>
    <row r="418" spans="4:9">
      <c r="D418" s="16">
        <v>339</v>
      </c>
      <c r="E418" s="12"/>
      <c r="F418" s="12"/>
      <c r="G418" s="12"/>
      <c r="H418" s="12"/>
      <c r="I418" s="12"/>
    </row>
    <row r="419" spans="4:9">
      <c r="D419" s="16">
        <v>340</v>
      </c>
      <c r="E419" s="12"/>
      <c r="F419" s="12"/>
      <c r="G419" s="12"/>
      <c r="H419" s="12"/>
      <c r="I419" s="12"/>
    </row>
    <row r="420" spans="4:9">
      <c r="D420" s="16">
        <v>341</v>
      </c>
      <c r="E420" s="12"/>
      <c r="F420" s="12"/>
      <c r="G420" s="12"/>
      <c r="H420" s="12"/>
      <c r="I420" s="12"/>
    </row>
    <row r="421" spans="4:9">
      <c r="D421" s="16">
        <v>342</v>
      </c>
      <c r="E421" s="12"/>
      <c r="F421" s="12"/>
      <c r="G421" s="12"/>
      <c r="H421" s="12"/>
      <c r="I421" s="12"/>
    </row>
    <row r="422" spans="4:9">
      <c r="D422" s="16">
        <v>343</v>
      </c>
      <c r="E422" s="12"/>
      <c r="F422" s="12"/>
      <c r="G422" s="12"/>
      <c r="H422" s="12"/>
      <c r="I422" s="12"/>
    </row>
    <row r="423" spans="4:9">
      <c r="D423" s="16">
        <v>344</v>
      </c>
      <c r="E423" s="12"/>
      <c r="F423" s="12"/>
      <c r="G423" s="12"/>
      <c r="H423" s="12"/>
      <c r="I423" s="12"/>
    </row>
    <row r="424" spans="4:9">
      <c r="D424" s="16">
        <v>345</v>
      </c>
      <c r="E424" s="12"/>
      <c r="F424" s="12"/>
      <c r="G424" s="12"/>
      <c r="H424" s="12"/>
      <c r="I424" s="12"/>
    </row>
    <row r="425" spans="4:9">
      <c r="D425" s="16">
        <v>346</v>
      </c>
      <c r="E425" s="12"/>
      <c r="F425" s="12"/>
      <c r="G425" s="12"/>
      <c r="H425" s="12"/>
      <c r="I425" s="12"/>
    </row>
    <row r="426" spans="4:9">
      <c r="D426" s="16">
        <v>347</v>
      </c>
      <c r="E426" s="12"/>
      <c r="F426" s="12"/>
      <c r="G426" s="12"/>
      <c r="H426" s="12"/>
      <c r="I426" s="12"/>
    </row>
    <row r="427" spans="4:9">
      <c r="D427" s="16">
        <v>348</v>
      </c>
      <c r="E427" s="12"/>
      <c r="F427" s="12"/>
      <c r="G427" s="12"/>
      <c r="H427" s="12"/>
      <c r="I427" s="12"/>
    </row>
    <row r="428" spans="4:9">
      <c r="D428" s="16">
        <v>349</v>
      </c>
      <c r="E428" s="12"/>
      <c r="F428" s="12"/>
      <c r="G428" s="12"/>
      <c r="H428" s="12"/>
      <c r="I428" s="12"/>
    </row>
    <row r="429" spans="4:9">
      <c r="D429" s="16">
        <v>350</v>
      </c>
      <c r="E429" s="12"/>
      <c r="F429" s="12"/>
      <c r="G429" s="12"/>
      <c r="H429" s="12"/>
      <c r="I429" s="12"/>
    </row>
    <row r="430" spans="4:9">
      <c r="D430" s="16">
        <v>351</v>
      </c>
      <c r="E430" s="12"/>
      <c r="F430" s="12"/>
      <c r="G430" s="12"/>
      <c r="H430" s="12"/>
      <c r="I430" s="12"/>
    </row>
    <row r="431" spans="4:9">
      <c r="D431" s="16">
        <v>352</v>
      </c>
      <c r="E431" s="12"/>
      <c r="F431" s="12"/>
      <c r="G431" s="12"/>
      <c r="H431" s="12"/>
      <c r="I431" s="12"/>
    </row>
    <row r="432" spans="4:9">
      <c r="D432" s="16">
        <v>353</v>
      </c>
      <c r="E432" s="12"/>
      <c r="F432" s="12"/>
      <c r="G432" s="12"/>
      <c r="H432" s="12"/>
      <c r="I432" s="12"/>
    </row>
    <row r="433" spans="4:9">
      <c r="D433" s="16">
        <v>354</v>
      </c>
      <c r="E433" s="12"/>
      <c r="F433" s="12"/>
      <c r="G433" s="12"/>
      <c r="H433" s="12"/>
      <c r="I433" s="12"/>
    </row>
    <row r="434" spans="4:9">
      <c r="D434" s="16">
        <v>355</v>
      </c>
      <c r="E434" s="12"/>
      <c r="F434" s="12"/>
      <c r="G434" s="12"/>
      <c r="H434" s="12"/>
      <c r="I434" s="12"/>
    </row>
    <row r="435" spans="4:9">
      <c r="D435" s="16">
        <v>356</v>
      </c>
      <c r="E435" s="12"/>
      <c r="F435" s="12"/>
      <c r="G435" s="12"/>
      <c r="H435" s="12"/>
      <c r="I435" s="12"/>
    </row>
    <row r="436" spans="4:9">
      <c r="D436" s="16">
        <v>357</v>
      </c>
      <c r="E436" s="12"/>
      <c r="F436" s="12"/>
      <c r="G436" s="12"/>
      <c r="H436" s="12"/>
      <c r="I436" s="12"/>
    </row>
    <row r="437" spans="4:9">
      <c r="D437" s="16">
        <v>358</v>
      </c>
      <c r="E437" s="12"/>
      <c r="F437" s="12"/>
      <c r="G437" s="12"/>
      <c r="H437" s="12"/>
      <c r="I437" s="12"/>
    </row>
    <row r="438" spans="4:9">
      <c r="D438" s="16">
        <v>359</v>
      </c>
      <c r="E438" s="12"/>
      <c r="F438" s="12"/>
      <c r="G438" s="12"/>
      <c r="H438" s="12"/>
      <c r="I438" s="12"/>
    </row>
    <row r="439" spans="4:9">
      <c r="D439" s="16">
        <v>360</v>
      </c>
      <c r="E439" s="12"/>
      <c r="F439" s="12"/>
      <c r="G439" s="12"/>
      <c r="H439" s="12"/>
      <c r="I439" s="12"/>
    </row>
    <row r="440" spans="4:9">
      <c r="D440" s="16">
        <v>361</v>
      </c>
      <c r="E440" s="12"/>
      <c r="F440" s="12"/>
      <c r="G440" s="12"/>
      <c r="H440" s="12"/>
      <c r="I440" s="12"/>
    </row>
    <row r="441" spans="4:9">
      <c r="D441" s="16">
        <v>362</v>
      </c>
      <c r="E441" s="12"/>
      <c r="F441" s="12"/>
      <c r="G441" s="12"/>
      <c r="H441" s="12"/>
      <c r="I441" s="12"/>
    </row>
    <row r="442" spans="4:9">
      <c r="D442" s="16">
        <v>363</v>
      </c>
      <c r="E442" s="12"/>
      <c r="F442" s="12"/>
      <c r="G442" s="12"/>
      <c r="H442" s="12"/>
      <c r="I442" s="12"/>
    </row>
    <row r="443" spans="4:9">
      <c r="D443" s="16">
        <v>364</v>
      </c>
      <c r="E443" s="12"/>
      <c r="F443" s="12"/>
      <c r="G443" s="12"/>
      <c r="H443" s="12"/>
      <c r="I443" s="12"/>
    </row>
    <row r="444" spans="4:9">
      <c r="D444" s="16">
        <v>365</v>
      </c>
      <c r="E444" s="12"/>
      <c r="F444" s="12"/>
      <c r="G444" s="12"/>
      <c r="H444" s="12"/>
      <c r="I444" s="12"/>
    </row>
    <row r="445" spans="4:9">
      <c r="D445" s="16">
        <v>366</v>
      </c>
      <c r="E445" s="12"/>
      <c r="F445" s="12"/>
      <c r="G445" s="12"/>
      <c r="H445" s="12"/>
      <c r="I445" s="12"/>
    </row>
    <row r="446" spans="4:9">
      <c r="D446" s="16">
        <v>367</v>
      </c>
      <c r="E446" s="12"/>
      <c r="F446" s="12"/>
      <c r="G446" s="12"/>
      <c r="H446" s="12"/>
      <c r="I446" s="12"/>
    </row>
    <row r="447" spans="4:9">
      <c r="D447" s="16">
        <v>368</v>
      </c>
      <c r="E447" s="12"/>
      <c r="F447" s="12"/>
      <c r="G447" s="12"/>
      <c r="H447" s="12"/>
      <c r="I447" s="12"/>
    </row>
    <row r="448" spans="4:9">
      <c r="D448" s="16">
        <v>369</v>
      </c>
      <c r="E448" s="12"/>
      <c r="F448" s="12"/>
      <c r="G448" s="12"/>
      <c r="H448" s="12"/>
      <c r="I448" s="12"/>
    </row>
    <row r="449" spans="4:9">
      <c r="D449" s="16">
        <v>370</v>
      </c>
      <c r="E449" s="12"/>
      <c r="F449" s="12"/>
      <c r="G449" s="12"/>
      <c r="H449" s="12"/>
      <c r="I449" s="12"/>
    </row>
    <row r="450" spans="4:9">
      <c r="D450" s="16">
        <v>371</v>
      </c>
      <c r="E450" s="12"/>
      <c r="F450" s="12"/>
      <c r="G450" s="12"/>
      <c r="H450" s="12"/>
      <c r="I450" s="12"/>
    </row>
    <row r="451" spans="4:9">
      <c r="D451" s="16">
        <v>372</v>
      </c>
      <c r="E451" s="12"/>
      <c r="F451" s="12"/>
      <c r="G451" s="12"/>
      <c r="H451" s="12"/>
      <c r="I451" s="12"/>
    </row>
    <row r="452" spans="4:9">
      <c r="D452" s="16">
        <v>373</v>
      </c>
      <c r="E452" s="12"/>
      <c r="F452" s="12"/>
      <c r="G452" s="12"/>
      <c r="H452" s="12"/>
      <c r="I452" s="12"/>
    </row>
    <row r="453" spans="4:9">
      <c r="D453" s="16">
        <v>374</v>
      </c>
      <c r="E453" s="12"/>
      <c r="F453" s="12"/>
      <c r="G453" s="12"/>
      <c r="H453" s="12"/>
      <c r="I453" s="12"/>
    </row>
    <row r="454" spans="4:9">
      <c r="D454" s="16">
        <v>375</v>
      </c>
      <c r="E454" s="12"/>
      <c r="F454" s="12"/>
      <c r="G454" s="12"/>
      <c r="H454" s="12"/>
      <c r="I454" s="12"/>
    </row>
    <row r="455" spans="4:9">
      <c r="D455" s="16">
        <v>376</v>
      </c>
      <c r="E455" s="12"/>
      <c r="F455" s="12"/>
      <c r="G455" s="12"/>
      <c r="H455" s="12"/>
      <c r="I455" s="12"/>
    </row>
    <row r="456" spans="4:9">
      <c r="D456" s="16">
        <v>377</v>
      </c>
      <c r="E456" s="12"/>
      <c r="F456" s="12"/>
      <c r="G456" s="12"/>
      <c r="H456" s="12"/>
      <c r="I456" s="12"/>
    </row>
    <row r="457" spans="4:9">
      <c r="D457" s="16">
        <v>378</v>
      </c>
      <c r="E457" s="12"/>
      <c r="F457" s="12"/>
      <c r="G457" s="12"/>
      <c r="H457" s="12"/>
      <c r="I457" s="12"/>
    </row>
    <row r="458" spans="4:9">
      <c r="D458" s="16">
        <v>379</v>
      </c>
      <c r="E458" s="12"/>
      <c r="F458" s="12"/>
      <c r="G458" s="12"/>
      <c r="H458" s="12"/>
      <c r="I458" s="12"/>
    </row>
    <row r="459" spans="4:9">
      <c r="D459" s="16">
        <v>380</v>
      </c>
      <c r="E459" s="12"/>
      <c r="F459" s="12"/>
      <c r="G459" s="12"/>
      <c r="H459" s="12"/>
      <c r="I459" s="12"/>
    </row>
    <row r="460" spans="4:9">
      <c r="D460" s="16">
        <v>381</v>
      </c>
      <c r="E460" s="12"/>
      <c r="F460" s="12"/>
      <c r="G460" s="12"/>
      <c r="H460" s="12"/>
      <c r="I460" s="12"/>
    </row>
    <row r="461" spans="4:9">
      <c r="D461" s="16">
        <v>382</v>
      </c>
      <c r="E461" s="12"/>
      <c r="F461" s="12"/>
      <c r="G461" s="12"/>
      <c r="H461" s="12"/>
      <c r="I461" s="12"/>
    </row>
    <row r="462" spans="4:9">
      <c r="D462" s="16">
        <v>383</v>
      </c>
      <c r="E462" s="12"/>
      <c r="F462" s="12"/>
      <c r="G462" s="12"/>
      <c r="H462" s="12"/>
      <c r="I462" s="12"/>
    </row>
    <row r="463" spans="4:9">
      <c r="D463" s="16">
        <v>384</v>
      </c>
      <c r="E463" s="12"/>
      <c r="F463" s="12"/>
      <c r="G463" s="12"/>
      <c r="H463" s="12"/>
      <c r="I463" s="12"/>
    </row>
    <row r="464" spans="4:9">
      <c r="D464" s="16">
        <v>385</v>
      </c>
      <c r="E464" s="12"/>
      <c r="F464" s="12"/>
      <c r="G464" s="12"/>
      <c r="H464" s="12"/>
      <c r="I464" s="12"/>
    </row>
    <row r="465" spans="4:9">
      <c r="D465" s="16">
        <v>386</v>
      </c>
      <c r="E465" s="12"/>
      <c r="F465" s="12"/>
      <c r="G465" s="12"/>
      <c r="H465" s="12"/>
      <c r="I465" s="12"/>
    </row>
    <row r="466" spans="4:9">
      <c r="D466" s="16">
        <v>387</v>
      </c>
      <c r="E466" s="12"/>
      <c r="F466" s="12"/>
      <c r="G466" s="12"/>
      <c r="H466" s="12"/>
      <c r="I466" s="12"/>
    </row>
    <row r="467" spans="4:9">
      <c r="D467" s="16">
        <v>388</v>
      </c>
      <c r="E467" s="12"/>
      <c r="F467" s="12"/>
      <c r="G467" s="12"/>
      <c r="H467" s="12"/>
      <c r="I467" s="12"/>
    </row>
    <row r="468" spans="4:9">
      <c r="D468" s="16">
        <v>389</v>
      </c>
      <c r="E468" s="12"/>
      <c r="F468" s="12"/>
      <c r="G468" s="12"/>
      <c r="H468" s="12"/>
      <c r="I468" s="12"/>
    </row>
    <row r="469" spans="4:9">
      <c r="D469" s="16">
        <v>390</v>
      </c>
      <c r="E469" s="12"/>
      <c r="F469" s="12"/>
      <c r="G469" s="12"/>
      <c r="H469" s="12"/>
      <c r="I469" s="12"/>
    </row>
    <row r="470" spans="4:9">
      <c r="D470" s="16">
        <v>391</v>
      </c>
      <c r="E470" s="12"/>
      <c r="F470" s="12"/>
      <c r="G470" s="12"/>
      <c r="H470" s="12"/>
      <c r="I470" s="12"/>
    </row>
    <row r="471" spans="4:9">
      <c r="D471" s="16">
        <v>392</v>
      </c>
      <c r="E471" s="12"/>
      <c r="F471" s="12"/>
      <c r="G471" s="12"/>
      <c r="H471" s="12"/>
      <c r="I471" s="12"/>
    </row>
    <row r="472" spans="4:9">
      <c r="D472" s="16">
        <v>393</v>
      </c>
      <c r="E472" s="12"/>
      <c r="F472" s="12"/>
      <c r="G472" s="12"/>
      <c r="H472" s="12"/>
      <c r="I472" s="12"/>
    </row>
    <row r="473" spans="4:9">
      <c r="D473" s="16">
        <v>394</v>
      </c>
      <c r="E473" s="12"/>
      <c r="F473" s="12"/>
      <c r="G473" s="12"/>
      <c r="H473" s="12"/>
      <c r="I473" s="12"/>
    </row>
    <row r="474" spans="4:9">
      <c r="D474" s="16">
        <v>395</v>
      </c>
      <c r="E474" s="12"/>
      <c r="F474" s="12"/>
      <c r="G474" s="12"/>
      <c r="H474" s="12"/>
      <c r="I474" s="12"/>
    </row>
    <row r="475" spans="4:9">
      <c r="D475" s="16">
        <v>396</v>
      </c>
      <c r="E475" s="12"/>
      <c r="F475" s="12"/>
      <c r="G475" s="12"/>
      <c r="H475" s="12"/>
      <c r="I475" s="12"/>
    </row>
    <row r="476" spans="4:9">
      <c r="D476" s="16">
        <v>397</v>
      </c>
      <c r="E476" s="12"/>
      <c r="F476" s="12"/>
      <c r="G476" s="12"/>
      <c r="H476" s="12"/>
      <c r="I476" s="12"/>
    </row>
    <row r="477" spans="4:9">
      <c r="D477" s="16">
        <v>398</v>
      </c>
      <c r="E477" s="12"/>
      <c r="F477" s="12"/>
      <c r="G477" s="12"/>
      <c r="H477" s="12"/>
      <c r="I477" s="12"/>
    </row>
    <row r="478" spans="4:9">
      <c r="D478" s="16">
        <v>399</v>
      </c>
      <c r="E478" s="12"/>
      <c r="F478" s="12"/>
      <c r="G478" s="12"/>
      <c r="H478" s="12"/>
      <c r="I478" s="12"/>
    </row>
    <row r="479" spans="4:9">
      <c r="D479" s="16">
        <v>400</v>
      </c>
      <c r="E479" s="12"/>
      <c r="F479" s="12"/>
      <c r="G479" s="12"/>
      <c r="H479" s="12"/>
      <c r="I479" s="12"/>
    </row>
    <row r="480" spans="4:9">
      <c r="D480" s="16">
        <v>401</v>
      </c>
      <c r="E480" s="12"/>
      <c r="F480" s="12"/>
      <c r="G480" s="12"/>
      <c r="H480" s="12"/>
      <c r="I480" s="12"/>
    </row>
    <row r="481" spans="4:9">
      <c r="D481" s="16">
        <v>402</v>
      </c>
      <c r="E481" s="12"/>
      <c r="F481" s="12"/>
      <c r="G481" s="12"/>
      <c r="H481" s="12"/>
      <c r="I481" s="12"/>
    </row>
    <row r="482" spans="4:9">
      <c r="D482" s="16">
        <v>403</v>
      </c>
      <c r="E482" s="12"/>
      <c r="F482" s="12"/>
      <c r="G482" s="12"/>
      <c r="H482" s="12"/>
      <c r="I482" s="12"/>
    </row>
    <row r="483" spans="4:9">
      <c r="D483" s="16">
        <v>404</v>
      </c>
      <c r="E483" s="12"/>
      <c r="F483" s="12"/>
      <c r="G483" s="12"/>
      <c r="H483" s="12"/>
      <c r="I483" s="12"/>
    </row>
    <row r="484" spans="4:9">
      <c r="D484" s="16">
        <v>405</v>
      </c>
      <c r="E484" s="12"/>
      <c r="F484" s="12"/>
      <c r="G484" s="12"/>
      <c r="H484" s="12"/>
      <c r="I484" s="12"/>
    </row>
    <row r="485" spans="4:9">
      <c r="D485" s="16">
        <v>406</v>
      </c>
      <c r="E485" s="12"/>
      <c r="F485" s="12"/>
      <c r="G485" s="12"/>
      <c r="H485" s="12"/>
      <c r="I485" s="12"/>
    </row>
    <row r="486" spans="4:9">
      <c r="D486" s="16">
        <v>407</v>
      </c>
      <c r="E486" s="12"/>
      <c r="F486" s="12"/>
      <c r="G486" s="12"/>
      <c r="H486" s="12"/>
      <c r="I486" s="12"/>
    </row>
    <row r="487" spans="4:9">
      <c r="D487" s="16">
        <v>408</v>
      </c>
      <c r="E487" s="12"/>
      <c r="F487" s="12"/>
      <c r="G487" s="12"/>
      <c r="H487" s="12"/>
      <c r="I487" s="12"/>
    </row>
    <row r="488" spans="4:9">
      <c r="D488" s="16">
        <v>409</v>
      </c>
      <c r="E488" s="12"/>
      <c r="F488" s="12"/>
      <c r="G488" s="12"/>
      <c r="H488" s="12"/>
      <c r="I488" s="12"/>
    </row>
    <row r="489" spans="4:9">
      <c r="D489" s="16">
        <v>410</v>
      </c>
      <c r="E489" s="12"/>
      <c r="F489" s="12"/>
      <c r="G489" s="12"/>
      <c r="H489" s="12"/>
      <c r="I489" s="12"/>
    </row>
    <row r="490" spans="4:9">
      <c r="D490" s="16">
        <v>411</v>
      </c>
      <c r="E490" s="12"/>
      <c r="F490" s="12"/>
      <c r="G490" s="12"/>
      <c r="H490" s="12"/>
      <c r="I490" s="12"/>
    </row>
    <row r="491" spans="4:9">
      <c r="D491" s="16">
        <v>412</v>
      </c>
      <c r="E491" s="12"/>
      <c r="F491" s="12"/>
      <c r="G491" s="12"/>
      <c r="H491" s="12"/>
      <c r="I491" s="12"/>
    </row>
    <row r="492" spans="4:9">
      <c r="D492" s="16">
        <v>413</v>
      </c>
      <c r="E492" s="12"/>
      <c r="F492" s="12"/>
      <c r="G492" s="12"/>
      <c r="H492" s="12"/>
      <c r="I492" s="12"/>
    </row>
    <row r="493" spans="4:9">
      <c r="D493" s="16">
        <v>414</v>
      </c>
      <c r="E493" s="12"/>
      <c r="F493" s="12"/>
      <c r="G493" s="12"/>
      <c r="H493" s="12"/>
      <c r="I493" s="12"/>
    </row>
    <row r="494" spans="4:9">
      <c r="D494" s="16">
        <v>415</v>
      </c>
      <c r="E494" s="12"/>
      <c r="F494" s="12"/>
      <c r="G494" s="12"/>
      <c r="H494" s="12"/>
      <c r="I494" s="12"/>
    </row>
    <row r="495" spans="4:9">
      <c r="D495" s="16">
        <v>416</v>
      </c>
      <c r="E495" s="12"/>
      <c r="F495" s="12"/>
      <c r="G495" s="12"/>
      <c r="H495" s="12"/>
      <c r="I495" s="12"/>
    </row>
    <row r="496" spans="4:9">
      <c r="D496" s="16">
        <v>417</v>
      </c>
      <c r="E496" s="12"/>
      <c r="F496" s="12"/>
      <c r="G496" s="12"/>
      <c r="H496" s="12"/>
      <c r="I496" s="12"/>
    </row>
    <row r="497" spans="4:9">
      <c r="D497" s="16">
        <v>418</v>
      </c>
      <c r="E497" s="12"/>
      <c r="F497" s="12"/>
      <c r="G497" s="12"/>
      <c r="H497" s="12"/>
      <c r="I497" s="12"/>
    </row>
    <row r="498" spans="4:9">
      <c r="D498" s="16">
        <v>419</v>
      </c>
      <c r="E498" s="12"/>
      <c r="F498" s="12"/>
      <c r="G498" s="12"/>
      <c r="H498" s="12"/>
      <c r="I498" s="12"/>
    </row>
    <row r="499" spans="4:9">
      <c r="D499" s="16">
        <v>420</v>
      </c>
      <c r="E499" s="12"/>
      <c r="F499" s="12"/>
      <c r="G499" s="12"/>
      <c r="H499" s="12"/>
      <c r="I499" s="12"/>
    </row>
    <row r="500" spans="4:9">
      <c r="D500" s="16">
        <v>421</v>
      </c>
      <c r="E500" s="12"/>
      <c r="F500" s="12"/>
      <c r="G500" s="12"/>
      <c r="H500" s="12"/>
      <c r="I500" s="12"/>
    </row>
    <row r="501" spans="4:9">
      <c r="D501" s="16">
        <v>422</v>
      </c>
      <c r="E501" s="12"/>
      <c r="F501" s="12"/>
      <c r="G501" s="12"/>
      <c r="H501" s="12"/>
      <c r="I501" s="12"/>
    </row>
    <row r="502" spans="4:9">
      <c r="D502" s="16">
        <v>423</v>
      </c>
      <c r="E502" s="12"/>
      <c r="F502" s="12"/>
      <c r="G502" s="12"/>
      <c r="H502" s="12"/>
      <c r="I502" s="12"/>
    </row>
    <row r="503" spans="4:9">
      <c r="D503" s="16">
        <v>424</v>
      </c>
      <c r="E503" s="12"/>
      <c r="F503" s="12"/>
      <c r="G503" s="12"/>
      <c r="H503" s="12"/>
      <c r="I503" s="12"/>
    </row>
    <row r="504" spans="4:9">
      <c r="D504" s="16">
        <v>425</v>
      </c>
      <c r="E504" s="12"/>
      <c r="F504" s="12"/>
      <c r="G504" s="12"/>
      <c r="H504" s="12"/>
      <c r="I504" s="12"/>
    </row>
    <row r="505" spans="4:9">
      <c r="D505" s="16">
        <v>426</v>
      </c>
      <c r="E505" s="12"/>
      <c r="F505" s="12"/>
      <c r="G505" s="12"/>
      <c r="H505" s="12"/>
      <c r="I505" s="12"/>
    </row>
    <row r="506" spans="4:9">
      <c r="D506" s="16">
        <v>427</v>
      </c>
      <c r="E506" s="12"/>
      <c r="F506" s="12"/>
      <c r="G506" s="12"/>
      <c r="H506" s="12"/>
      <c r="I506" s="12"/>
    </row>
    <row r="507" spans="4:9">
      <c r="D507" s="16">
        <v>428</v>
      </c>
      <c r="E507" s="12"/>
      <c r="F507" s="12"/>
      <c r="G507" s="12"/>
      <c r="H507" s="12"/>
      <c r="I507" s="12"/>
    </row>
    <row r="508" spans="4:9">
      <c r="D508" s="16">
        <v>429</v>
      </c>
      <c r="E508" s="12"/>
      <c r="F508" s="12"/>
      <c r="G508" s="12"/>
      <c r="H508" s="12"/>
      <c r="I508" s="12"/>
    </row>
    <row r="509" spans="4:9">
      <c r="D509" s="16">
        <v>430</v>
      </c>
      <c r="E509" s="12"/>
      <c r="F509" s="12"/>
      <c r="G509" s="12"/>
      <c r="H509" s="12"/>
      <c r="I509" s="12"/>
    </row>
    <row r="510" spans="4:9">
      <c r="D510" s="16">
        <v>431</v>
      </c>
      <c r="E510" s="12"/>
      <c r="F510" s="12"/>
      <c r="G510" s="12"/>
      <c r="H510" s="12"/>
      <c r="I510" s="12"/>
    </row>
    <row r="511" spans="4:9">
      <c r="D511" s="16">
        <v>432</v>
      </c>
      <c r="E511" s="12"/>
      <c r="F511" s="12"/>
      <c r="G511" s="12"/>
      <c r="H511" s="12"/>
      <c r="I511" s="12"/>
    </row>
    <row r="512" spans="4:9">
      <c r="D512" s="16">
        <v>433</v>
      </c>
      <c r="E512" s="12"/>
      <c r="F512" s="12"/>
      <c r="G512" s="12"/>
      <c r="H512" s="12"/>
      <c r="I512" s="12"/>
    </row>
    <row r="513" spans="4:9">
      <c r="D513" s="16">
        <v>434</v>
      </c>
      <c r="E513" s="12"/>
      <c r="F513" s="12"/>
      <c r="G513" s="12"/>
      <c r="H513" s="12"/>
      <c r="I513" s="12"/>
    </row>
    <row r="514" spans="4:9">
      <c r="D514" s="16">
        <v>435</v>
      </c>
      <c r="E514" s="12"/>
      <c r="F514" s="12"/>
      <c r="G514" s="12"/>
      <c r="H514" s="12"/>
      <c r="I514" s="12"/>
    </row>
    <row r="515" spans="4:9">
      <c r="D515" s="16">
        <v>436</v>
      </c>
      <c r="E515" s="12"/>
      <c r="F515" s="12"/>
      <c r="G515" s="12"/>
      <c r="H515" s="12"/>
      <c r="I515" s="12"/>
    </row>
    <row r="516" spans="4:9">
      <c r="D516" s="16">
        <v>437</v>
      </c>
      <c r="E516" s="12"/>
      <c r="F516" s="12"/>
      <c r="G516" s="12"/>
      <c r="H516" s="12"/>
      <c r="I516" s="12"/>
    </row>
    <row r="517" spans="4:9">
      <c r="D517" s="16">
        <v>438</v>
      </c>
      <c r="E517" s="12"/>
      <c r="F517" s="12"/>
      <c r="G517" s="12"/>
      <c r="H517" s="12"/>
      <c r="I517" s="12"/>
    </row>
    <row r="518" spans="4:9">
      <c r="D518" s="16">
        <v>439</v>
      </c>
      <c r="E518" s="12"/>
      <c r="F518" s="12"/>
      <c r="G518" s="12"/>
      <c r="H518" s="12"/>
      <c r="I518" s="12"/>
    </row>
    <row r="519" spans="4:9">
      <c r="D519" s="16">
        <v>440</v>
      </c>
      <c r="E519" s="12"/>
      <c r="F519" s="12"/>
      <c r="G519" s="12"/>
      <c r="H519" s="12"/>
      <c r="I519" s="12"/>
    </row>
    <row r="520" spans="4:9">
      <c r="D520" s="16">
        <v>441</v>
      </c>
      <c r="E520" s="12"/>
      <c r="F520" s="12"/>
      <c r="G520" s="12"/>
      <c r="H520" s="12"/>
      <c r="I520" s="12"/>
    </row>
    <row r="521" spans="4:9">
      <c r="D521" s="16">
        <v>442</v>
      </c>
      <c r="E521" s="12"/>
      <c r="F521" s="12"/>
      <c r="G521" s="12"/>
      <c r="H521" s="12"/>
      <c r="I521" s="12"/>
    </row>
    <row r="522" spans="4:9">
      <c r="D522" s="16">
        <v>443</v>
      </c>
      <c r="E522" s="12"/>
      <c r="F522" s="12"/>
      <c r="G522" s="12"/>
      <c r="H522" s="12"/>
      <c r="I522" s="12"/>
    </row>
    <row r="523" spans="4:9">
      <c r="D523" s="16">
        <v>444</v>
      </c>
      <c r="E523" s="12"/>
      <c r="F523" s="12"/>
      <c r="G523" s="12"/>
      <c r="H523" s="12"/>
      <c r="I523" s="12"/>
    </row>
    <row r="524" spans="4:9">
      <c r="D524" s="16">
        <v>445</v>
      </c>
      <c r="E524" s="12"/>
      <c r="F524" s="12"/>
      <c r="G524" s="12"/>
      <c r="H524" s="12"/>
      <c r="I524" s="12"/>
    </row>
    <row r="525" spans="4:9">
      <c r="D525" s="16">
        <v>446</v>
      </c>
      <c r="E525" s="12"/>
      <c r="F525" s="12"/>
      <c r="G525" s="12"/>
      <c r="H525" s="12"/>
      <c r="I525" s="12"/>
    </row>
    <row r="526" spans="4:9">
      <c r="D526" s="16">
        <v>447</v>
      </c>
      <c r="E526" s="12"/>
      <c r="F526" s="12"/>
      <c r="G526" s="12"/>
      <c r="H526" s="12"/>
      <c r="I526" s="12"/>
    </row>
    <row r="527" spans="4:9">
      <c r="D527" s="16">
        <v>448</v>
      </c>
      <c r="E527" s="12"/>
      <c r="F527" s="12"/>
      <c r="G527" s="12"/>
      <c r="H527" s="12"/>
      <c r="I527" s="12"/>
    </row>
    <row r="528" spans="4:9">
      <c r="D528" s="16">
        <v>449</v>
      </c>
      <c r="E528" s="12"/>
      <c r="F528" s="12"/>
      <c r="G528" s="12"/>
      <c r="H528" s="12"/>
      <c r="I528" s="12"/>
    </row>
    <row r="529" spans="4:9">
      <c r="D529" s="16">
        <v>450</v>
      </c>
      <c r="E529" s="12"/>
      <c r="F529" s="12"/>
      <c r="G529" s="12"/>
      <c r="H529" s="12"/>
      <c r="I529" s="12"/>
    </row>
    <row r="530" spans="4:9">
      <c r="D530" s="16">
        <v>451</v>
      </c>
      <c r="E530" s="12"/>
      <c r="F530" s="12"/>
      <c r="G530" s="12"/>
      <c r="H530" s="12"/>
      <c r="I530" s="12"/>
    </row>
    <row r="531" spans="4:9">
      <c r="D531" s="16">
        <v>452</v>
      </c>
      <c r="E531" s="12"/>
      <c r="F531" s="12"/>
      <c r="G531" s="12"/>
      <c r="H531" s="12"/>
      <c r="I531" s="12"/>
    </row>
    <row r="532" spans="4:9">
      <c r="D532" s="16">
        <v>453</v>
      </c>
      <c r="E532" s="12"/>
      <c r="F532" s="12"/>
      <c r="G532" s="12"/>
      <c r="H532" s="12"/>
      <c r="I532" s="12"/>
    </row>
    <row r="533" spans="4:9">
      <c r="D533" s="16">
        <v>454</v>
      </c>
      <c r="E533" s="12"/>
      <c r="F533" s="12"/>
      <c r="G533" s="12"/>
      <c r="H533" s="12"/>
      <c r="I533" s="12"/>
    </row>
    <row r="534" spans="4:9">
      <c r="D534" s="16">
        <v>455</v>
      </c>
      <c r="E534" s="12"/>
      <c r="F534" s="12"/>
      <c r="G534" s="12"/>
      <c r="H534" s="12"/>
      <c r="I534" s="12"/>
    </row>
    <row r="535" spans="4:9">
      <c r="D535" s="16">
        <v>456</v>
      </c>
      <c r="E535" s="12"/>
      <c r="F535" s="12"/>
      <c r="G535" s="12"/>
      <c r="H535" s="12"/>
      <c r="I535" s="12"/>
    </row>
    <row r="536" spans="4:9">
      <c r="D536" s="16">
        <v>457</v>
      </c>
      <c r="E536" s="12"/>
      <c r="F536" s="12"/>
      <c r="G536" s="12"/>
      <c r="H536" s="12"/>
      <c r="I536" s="12"/>
    </row>
    <row r="537" spans="4:9">
      <c r="D537" s="16">
        <v>458</v>
      </c>
      <c r="E537" s="12"/>
      <c r="F537" s="12"/>
      <c r="G537" s="12"/>
      <c r="H537" s="12"/>
      <c r="I537" s="12"/>
    </row>
    <row r="538" spans="4:9">
      <c r="D538" s="16">
        <v>459</v>
      </c>
      <c r="E538" s="12"/>
      <c r="F538" s="12"/>
      <c r="G538" s="12"/>
      <c r="H538" s="12"/>
      <c r="I538" s="12"/>
    </row>
    <row r="539" spans="4:9">
      <c r="D539" s="16">
        <v>460</v>
      </c>
      <c r="E539" s="12"/>
      <c r="F539" s="12"/>
      <c r="G539" s="12"/>
      <c r="H539" s="12"/>
      <c r="I539" s="12"/>
    </row>
    <row r="540" spans="4:9">
      <c r="D540" s="16">
        <v>461</v>
      </c>
      <c r="E540" s="12"/>
      <c r="F540" s="12"/>
      <c r="G540" s="12"/>
      <c r="H540" s="12"/>
      <c r="I540" s="12"/>
    </row>
    <row r="541" spans="4:9">
      <c r="D541" s="16">
        <v>462</v>
      </c>
      <c r="E541" s="12"/>
      <c r="F541" s="12"/>
      <c r="G541" s="12"/>
      <c r="H541" s="12"/>
      <c r="I541" s="12"/>
    </row>
    <row r="542" spans="4:9">
      <c r="D542" s="16">
        <v>463</v>
      </c>
      <c r="E542" s="12"/>
      <c r="F542" s="12"/>
      <c r="G542" s="12"/>
      <c r="H542" s="12"/>
      <c r="I542" s="12"/>
    </row>
    <row r="543" spans="4:9">
      <c r="D543" s="16">
        <v>464</v>
      </c>
      <c r="E543" s="12"/>
      <c r="F543" s="12"/>
      <c r="G543" s="12"/>
      <c r="H543" s="12"/>
      <c r="I543" s="12"/>
    </row>
    <row r="544" spans="4:9">
      <c r="D544" s="16">
        <v>465</v>
      </c>
      <c r="E544" s="12"/>
      <c r="F544" s="12"/>
      <c r="G544" s="12"/>
      <c r="H544" s="12"/>
      <c r="I544" s="12"/>
    </row>
    <row r="545" spans="4:9">
      <c r="D545" s="16">
        <v>466</v>
      </c>
      <c r="E545" s="12"/>
      <c r="F545" s="12"/>
      <c r="G545" s="12"/>
      <c r="H545" s="12"/>
      <c r="I545" s="12"/>
    </row>
    <row r="546" spans="4:9">
      <c r="D546" s="16">
        <v>467</v>
      </c>
      <c r="E546" s="12"/>
      <c r="F546" s="12"/>
      <c r="G546" s="12"/>
      <c r="H546" s="12"/>
      <c r="I546" s="12"/>
    </row>
    <row r="547" spans="4:9">
      <c r="D547" s="16">
        <v>468</v>
      </c>
      <c r="E547" s="12"/>
      <c r="F547" s="12"/>
      <c r="G547" s="12"/>
      <c r="H547" s="12"/>
      <c r="I547" s="12"/>
    </row>
    <row r="548" spans="4:9">
      <c r="D548" s="16">
        <v>469</v>
      </c>
      <c r="E548" s="12"/>
      <c r="F548" s="12"/>
      <c r="G548" s="12"/>
      <c r="H548" s="12"/>
      <c r="I548" s="12"/>
    </row>
    <row r="549" spans="4:9">
      <c r="D549" s="16">
        <v>470</v>
      </c>
      <c r="E549" s="12"/>
      <c r="F549" s="12"/>
      <c r="G549" s="12"/>
      <c r="H549" s="12"/>
      <c r="I549" s="12"/>
    </row>
    <row r="550" spans="4:9">
      <c r="D550" s="16">
        <v>471</v>
      </c>
      <c r="E550" s="12"/>
      <c r="F550" s="12"/>
      <c r="G550" s="12"/>
      <c r="H550" s="12"/>
      <c r="I550" s="12"/>
    </row>
    <row r="551" spans="4:9">
      <c r="D551" s="16">
        <v>472</v>
      </c>
      <c r="E551" s="12"/>
      <c r="F551" s="12"/>
      <c r="G551" s="12"/>
      <c r="H551" s="12"/>
      <c r="I551" s="12"/>
    </row>
    <row r="552" spans="4:9">
      <c r="D552" s="16">
        <v>473</v>
      </c>
      <c r="E552" s="12"/>
      <c r="F552" s="12"/>
      <c r="G552" s="12"/>
      <c r="H552" s="12"/>
      <c r="I552" s="12"/>
    </row>
    <row r="553" spans="4:9">
      <c r="D553" s="16">
        <v>474</v>
      </c>
      <c r="E553" s="12"/>
      <c r="F553" s="12"/>
      <c r="G553" s="12"/>
      <c r="H553" s="12"/>
      <c r="I553" s="12"/>
    </row>
    <row r="554" spans="4:9">
      <c r="D554" s="16">
        <v>475</v>
      </c>
      <c r="E554" s="12"/>
      <c r="F554" s="12"/>
      <c r="G554" s="12"/>
      <c r="H554" s="12"/>
      <c r="I554" s="12"/>
    </row>
    <row r="555" spans="4:9">
      <c r="D555" s="16">
        <v>476</v>
      </c>
      <c r="E555" s="12"/>
      <c r="F555" s="12"/>
      <c r="G555" s="12"/>
      <c r="H555" s="12"/>
      <c r="I555" s="12"/>
    </row>
    <row r="556" spans="4:9">
      <c r="D556" s="16">
        <v>477</v>
      </c>
      <c r="E556" s="12"/>
      <c r="F556" s="12"/>
      <c r="G556" s="12"/>
      <c r="H556" s="12"/>
      <c r="I556" s="12"/>
    </row>
    <row r="557" spans="4:9">
      <c r="D557" s="16">
        <v>478</v>
      </c>
      <c r="E557" s="12"/>
      <c r="F557" s="12"/>
      <c r="G557" s="12"/>
      <c r="H557" s="12"/>
      <c r="I557" s="12"/>
    </row>
    <row r="558" spans="4:9">
      <c r="D558" s="16">
        <v>479</v>
      </c>
      <c r="E558" s="12"/>
      <c r="F558" s="12"/>
      <c r="G558" s="12"/>
      <c r="H558" s="12"/>
      <c r="I558" s="12"/>
    </row>
    <row r="559" spans="4:9">
      <c r="D559" s="16">
        <v>480</v>
      </c>
      <c r="E559" s="12"/>
      <c r="F559" s="12"/>
      <c r="G559" s="12"/>
      <c r="H559" s="12"/>
      <c r="I559" s="12"/>
    </row>
    <row r="560" spans="4:9">
      <c r="D560" s="16">
        <v>481</v>
      </c>
      <c r="E560" s="12"/>
      <c r="F560" s="12"/>
      <c r="G560" s="12"/>
      <c r="H560" s="12"/>
      <c r="I560" s="12"/>
    </row>
    <row r="561" spans="4:9">
      <c r="D561" s="16">
        <v>482</v>
      </c>
      <c r="E561" s="12"/>
      <c r="F561" s="12"/>
      <c r="G561" s="12"/>
      <c r="H561" s="12"/>
      <c r="I561" s="12"/>
    </row>
    <row r="562" spans="4:9">
      <c r="D562" s="16">
        <v>483</v>
      </c>
      <c r="E562" s="12"/>
      <c r="F562" s="12"/>
      <c r="G562" s="12"/>
      <c r="H562" s="12"/>
      <c r="I562" s="12"/>
    </row>
    <row r="563" spans="4:9">
      <c r="D563" s="16">
        <v>484</v>
      </c>
      <c r="E563" s="12"/>
      <c r="F563" s="12"/>
      <c r="G563" s="12"/>
      <c r="H563" s="12"/>
      <c r="I563" s="12"/>
    </row>
    <row r="564" spans="4:9">
      <c r="D564" s="16">
        <v>485</v>
      </c>
      <c r="E564" s="12"/>
      <c r="F564" s="12"/>
      <c r="G564" s="12"/>
      <c r="H564" s="12"/>
      <c r="I564" s="12"/>
    </row>
    <row r="565" spans="4:9">
      <c r="D565" s="16">
        <v>486</v>
      </c>
      <c r="E565" s="12"/>
      <c r="F565" s="12"/>
      <c r="G565" s="12"/>
      <c r="H565" s="12"/>
      <c r="I565" s="12"/>
    </row>
    <row r="566" spans="4:9">
      <c r="D566" s="16">
        <v>487</v>
      </c>
      <c r="E566" s="12"/>
      <c r="F566" s="12"/>
      <c r="G566" s="12"/>
      <c r="H566" s="12"/>
      <c r="I566" s="12"/>
    </row>
    <row r="567" spans="4:9">
      <c r="D567" s="16">
        <v>488</v>
      </c>
      <c r="E567" s="12"/>
      <c r="F567" s="12"/>
      <c r="G567" s="12"/>
      <c r="H567" s="12"/>
      <c r="I567" s="12"/>
    </row>
    <row r="568" spans="4:9">
      <c r="D568" s="16">
        <v>489</v>
      </c>
      <c r="E568" s="12"/>
      <c r="F568" s="12"/>
      <c r="G568" s="12"/>
      <c r="H568" s="12"/>
      <c r="I568" s="12"/>
    </row>
    <row r="569" spans="4:9">
      <c r="D569" s="16">
        <v>490</v>
      </c>
      <c r="E569" s="12"/>
      <c r="F569" s="12"/>
      <c r="G569" s="12"/>
      <c r="H569" s="12"/>
      <c r="I569" s="12"/>
    </row>
    <row r="570" spans="4:9">
      <c r="D570" s="16">
        <v>491</v>
      </c>
      <c r="E570" s="12"/>
      <c r="F570" s="12"/>
      <c r="G570" s="12"/>
      <c r="H570" s="12"/>
      <c r="I570" s="12"/>
    </row>
    <row r="571" spans="4:9">
      <c r="D571" s="16">
        <v>492</v>
      </c>
      <c r="E571" s="12"/>
      <c r="F571" s="12"/>
      <c r="G571" s="12"/>
      <c r="H571" s="12"/>
      <c r="I571" s="12"/>
    </row>
    <row r="572" spans="4:9">
      <c r="D572" s="16">
        <v>493</v>
      </c>
      <c r="E572" s="12"/>
      <c r="F572" s="12"/>
      <c r="G572" s="12"/>
      <c r="H572" s="12"/>
      <c r="I572" s="12"/>
    </row>
    <row r="573" spans="4:9">
      <c r="D573" s="16">
        <v>494</v>
      </c>
      <c r="E573" s="12"/>
      <c r="F573" s="12"/>
      <c r="G573" s="12"/>
      <c r="H573" s="12"/>
      <c r="I573" s="12"/>
    </row>
    <row r="574" spans="4:9">
      <c r="D574" s="16">
        <v>495</v>
      </c>
      <c r="E574" s="12"/>
      <c r="F574" s="12"/>
      <c r="G574" s="12"/>
      <c r="H574" s="12"/>
      <c r="I574" s="12"/>
    </row>
    <row r="575" spans="4:9">
      <c r="D575" s="16">
        <v>496</v>
      </c>
      <c r="E575" s="12"/>
      <c r="F575" s="12"/>
      <c r="G575" s="12"/>
      <c r="H575" s="12"/>
      <c r="I575" s="12"/>
    </row>
    <row r="576" spans="4:9">
      <c r="D576" s="16">
        <v>497</v>
      </c>
      <c r="E576" s="12"/>
      <c r="F576" s="12"/>
      <c r="G576" s="12"/>
      <c r="H576" s="12"/>
      <c r="I576" s="12"/>
    </row>
    <row r="577" spans="4:9">
      <c r="D577" s="16">
        <v>498</v>
      </c>
      <c r="E577" s="12"/>
      <c r="F577" s="12"/>
      <c r="G577" s="12"/>
      <c r="H577" s="12"/>
      <c r="I577" s="12"/>
    </row>
    <row r="578" spans="4:9">
      <c r="D578" s="16">
        <v>499</v>
      </c>
      <c r="E578" s="12"/>
      <c r="F578" s="12"/>
      <c r="G578" s="12"/>
      <c r="H578" s="12"/>
      <c r="I578" s="12"/>
    </row>
    <row r="579" spans="4:9">
      <c r="D579" s="16">
        <v>500</v>
      </c>
      <c r="E579" s="12"/>
      <c r="F579" s="12"/>
      <c r="G579" s="12"/>
      <c r="H579" s="12"/>
      <c r="I579" s="12"/>
    </row>
    <row r="580" spans="4:9">
      <c r="D580" s="16">
        <v>501</v>
      </c>
      <c r="E580" s="12"/>
      <c r="F580" s="12"/>
      <c r="G580" s="12"/>
      <c r="H580" s="12"/>
      <c r="I580" s="12"/>
    </row>
    <row r="581" spans="4:9">
      <c r="D581" s="16">
        <v>502</v>
      </c>
      <c r="E581" s="12"/>
      <c r="F581" s="12"/>
      <c r="G581" s="12"/>
      <c r="H581" s="12"/>
      <c r="I581" s="12"/>
    </row>
    <row r="582" spans="4:9">
      <c r="D582" s="16">
        <v>503</v>
      </c>
      <c r="E582" s="12"/>
      <c r="F582" s="12"/>
      <c r="G582" s="12"/>
      <c r="H582" s="12"/>
      <c r="I582" s="12"/>
    </row>
    <row r="583" spans="4:9">
      <c r="D583" s="16">
        <v>504</v>
      </c>
      <c r="E583" s="12"/>
      <c r="F583" s="12"/>
      <c r="G583" s="12"/>
      <c r="H583" s="12"/>
      <c r="I583" s="12"/>
    </row>
    <row r="584" spans="4:9">
      <c r="D584" s="16">
        <v>505</v>
      </c>
      <c r="E584" s="12"/>
      <c r="F584" s="12"/>
      <c r="G584" s="12"/>
      <c r="H584" s="12"/>
      <c r="I584" s="12"/>
    </row>
    <row r="585" spans="4:9">
      <c r="D585" s="16">
        <v>506</v>
      </c>
      <c r="E585" s="12"/>
      <c r="F585" s="12"/>
      <c r="G585" s="12"/>
      <c r="H585" s="12"/>
      <c r="I585" s="12"/>
    </row>
    <row r="586" spans="4:9">
      <c r="D586" s="16">
        <v>507</v>
      </c>
      <c r="E586" s="12"/>
      <c r="F586" s="12"/>
      <c r="G586" s="12"/>
      <c r="H586" s="12"/>
      <c r="I586" s="12"/>
    </row>
    <row r="587" spans="4:9">
      <c r="D587" s="16">
        <v>508</v>
      </c>
      <c r="E587" s="12"/>
      <c r="F587" s="12"/>
      <c r="G587" s="12"/>
      <c r="H587" s="12"/>
      <c r="I587" s="12"/>
    </row>
    <row r="588" spans="4:9">
      <c r="D588" s="16">
        <v>509</v>
      </c>
      <c r="E588" s="12"/>
      <c r="F588" s="12"/>
      <c r="G588" s="12"/>
      <c r="H588" s="12"/>
      <c r="I588" s="12"/>
    </row>
    <row r="589" spans="4:9">
      <c r="D589" s="16">
        <v>510</v>
      </c>
      <c r="E589" s="12"/>
      <c r="F589" s="12"/>
      <c r="G589" s="12"/>
      <c r="H589" s="12"/>
      <c r="I589" s="12"/>
    </row>
    <row r="590" spans="4:9">
      <c r="D590" s="16">
        <v>511</v>
      </c>
      <c r="E590" s="12"/>
      <c r="F590" s="12"/>
      <c r="G590" s="12"/>
      <c r="H590" s="12"/>
      <c r="I590" s="12"/>
    </row>
    <row r="591" spans="4:9">
      <c r="D591" s="16">
        <v>512</v>
      </c>
      <c r="E591" s="12"/>
      <c r="F591" s="12"/>
      <c r="G591" s="12"/>
      <c r="H591" s="12"/>
      <c r="I591" s="12"/>
    </row>
    <row r="592" spans="4:9">
      <c r="D592" s="16">
        <v>513</v>
      </c>
      <c r="E592" s="12"/>
      <c r="F592" s="12"/>
      <c r="G592" s="12"/>
      <c r="H592" s="12"/>
      <c r="I592" s="12"/>
    </row>
    <row r="593" spans="4:9">
      <c r="D593" s="16">
        <v>514</v>
      </c>
      <c r="E593" s="12"/>
      <c r="F593" s="12"/>
      <c r="G593" s="12"/>
      <c r="H593" s="12"/>
      <c r="I593" s="12"/>
    </row>
    <row r="594" spans="4:9">
      <c r="D594" s="16">
        <v>515</v>
      </c>
      <c r="E594" s="12"/>
      <c r="F594" s="12"/>
      <c r="G594" s="12"/>
      <c r="H594" s="12"/>
      <c r="I594" s="12"/>
    </row>
    <row r="595" spans="4:9">
      <c r="D595" s="16">
        <v>516</v>
      </c>
      <c r="E595" s="12"/>
      <c r="F595" s="12"/>
      <c r="G595" s="12"/>
      <c r="H595" s="12"/>
      <c r="I595" s="12"/>
    </row>
    <row r="596" spans="4:9">
      <c r="D596" s="16">
        <v>517</v>
      </c>
      <c r="E596" s="12"/>
      <c r="F596" s="12"/>
      <c r="G596" s="12"/>
      <c r="H596" s="12"/>
      <c r="I596" s="12"/>
    </row>
    <row r="597" spans="4:9">
      <c r="D597" s="16">
        <v>518</v>
      </c>
      <c r="E597" s="12"/>
      <c r="F597" s="12"/>
      <c r="G597" s="12"/>
      <c r="H597" s="12"/>
      <c r="I597" s="12"/>
    </row>
    <row r="598" spans="4:9">
      <c r="D598" s="16">
        <v>519</v>
      </c>
      <c r="E598" s="12"/>
      <c r="F598" s="12"/>
      <c r="G598" s="12"/>
      <c r="H598" s="12"/>
      <c r="I598" s="12"/>
    </row>
    <row r="599" spans="4:9">
      <c r="D599" s="16">
        <v>520</v>
      </c>
      <c r="E599" s="12"/>
      <c r="F599" s="12"/>
      <c r="G599" s="12"/>
      <c r="H599" s="12"/>
      <c r="I599" s="12"/>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E1:R486"/>
  <sheetViews>
    <sheetView workbookViewId="0">
      <selection activeCell="H38" sqref="H38"/>
    </sheetView>
  </sheetViews>
  <sheetFormatPr defaultColWidth="9.14285714285714" defaultRowHeight="12.75"/>
  <cols>
    <col min="6" max="6" width="10.4285714285714"/>
    <col min="7" max="7" width="12.8571428571429"/>
    <col min="13" max="14" width="12.8571428571429"/>
  </cols>
  <sheetData>
    <row r="1" ht="15" spans="5:18">
      <c r="L1" t="s">
        <v>393</v>
      </c>
      <c r="P1" s="1" t="s">
        <v>1239</v>
      </c>
      <c r="Q1" s="2" t="s">
        <v>1240</v>
      </c>
    </row>
    <row r="2" ht="16.5" spans="5:18">
      <c r="L2">
        <v>1</v>
      </c>
      <c r="M2">
        <v>100</v>
      </c>
      <c r="N2">
        <v>1</v>
      </c>
      <c r="P2" s="3">
        <v>1</v>
      </c>
      <c r="Q2" s="4">
        <v>1</v>
      </c>
      <c r="R2">
        <v>100</v>
      </c>
    </row>
    <row r="3" ht="16.5" spans="5:18">
      <c r="E3" s="3">
        <v>11</v>
      </c>
      <c r="F3" s="4">
        <v>2150</v>
      </c>
      <c r="G3">
        <v>7.8493023255814</v>
      </c>
      <c r="L3">
        <v>12</v>
      </c>
      <c r="M3">
        <v>600</v>
      </c>
      <c r="N3">
        <v>2.12333333333333</v>
      </c>
      <c r="P3" s="3">
        <v>2</v>
      </c>
      <c r="Q3" s="4">
        <v>1.07085070081676</v>
      </c>
      <c r="R3">
        <v>117.690395624285</v>
      </c>
    </row>
    <row r="4" ht="16.5" spans="5:18">
      <c r="E4" s="3">
        <v>17</v>
      </c>
      <c r="F4" s="4">
        <v>2744.79153255573</v>
      </c>
      <c r="G4">
        <v>11.3013694765285</v>
      </c>
      <c r="L4">
        <v>18</v>
      </c>
      <c r="M4">
        <v>850</v>
      </c>
      <c r="N4">
        <v>3.02941176470588</v>
      </c>
      <c r="P4" s="3">
        <v>3</v>
      </c>
      <c r="Q4" s="4">
        <v>1.14672122343974</v>
      </c>
      <c r="R4">
        <v>138.510292222008</v>
      </c>
    </row>
    <row r="5" ht="16.5" spans="5:18">
      <c r="E5" s="3">
        <v>22</v>
      </c>
      <c r="F5" s="4">
        <v>3235.47009693304</v>
      </c>
      <c r="G5">
        <v>13.4460280995535</v>
      </c>
      <c r="L5">
        <v>23</v>
      </c>
      <c r="M5">
        <v>1050</v>
      </c>
      <c r="N5">
        <v>3.63333333333333</v>
      </c>
      <c r="P5" s="3">
        <v>4</v>
      </c>
      <c r="Q5" s="4">
        <v>1.22796722576189</v>
      </c>
      <c r="R5">
        <v>163.013310896435</v>
      </c>
    </row>
    <row r="6" ht="16.5" spans="5:18">
      <c r="E6" s="3">
        <v>26</v>
      </c>
      <c r="F6" s="4">
        <v>3640.93136579963</v>
      </c>
      <c r="G6">
        <v>15.6616454051437</v>
      </c>
      <c r="L6">
        <v>27</v>
      </c>
      <c r="M6">
        <v>1250</v>
      </c>
      <c r="N6">
        <v>3.9992</v>
      </c>
      <c r="P6" s="3">
        <v>5</v>
      </c>
      <c r="Q6" s="4">
        <v>1.31496956428713</v>
      </c>
      <c r="R6">
        <v>191.85101051426</v>
      </c>
    </row>
    <row r="7" ht="16.5" spans="5:18">
      <c r="E7" s="3">
        <v>29</v>
      </c>
      <c r="F7" s="4">
        <v>3937.93054033986</v>
      </c>
      <c r="G7">
        <v>17.7386764019458</v>
      </c>
      <c r="L7">
        <v>30</v>
      </c>
      <c r="M7">
        <v>1400</v>
      </c>
      <c r="N7">
        <v>4.37285714285714</v>
      </c>
      <c r="P7" s="3">
        <v>6</v>
      </c>
      <c r="Q7" s="4">
        <v>1.40813607946957</v>
      </c>
      <c r="R7">
        <v>225.790213283422</v>
      </c>
    </row>
    <row r="8" ht="16.5" spans="5:18">
      <c r="E8" s="3">
        <v>32</v>
      </c>
      <c r="F8" s="4">
        <v>4237.6318802616</v>
      </c>
      <c r="G8">
        <v>20.1932249334821</v>
      </c>
      <c r="L8">
        <v>33</v>
      </c>
      <c r="M8">
        <v>1550</v>
      </c>
      <c r="N8">
        <v>4.83741935483871</v>
      </c>
      <c r="P8" s="3">
        <v>7</v>
      </c>
      <c r="Q8" s="4">
        <v>1.50790350754535</v>
      </c>
      <c r="R8">
        <v>265.733395294177</v>
      </c>
    </row>
    <row r="9" ht="16.5" spans="5:18">
      <c r="E9" s="3">
        <v>35</v>
      </c>
      <c r="F9" s="4">
        <v>4543.84909095115</v>
      </c>
      <c r="G9">
        <v>23.0699293176952</v>
      </c>
      <c r="L9">
        <v>36</v>
      </c>
      <c r="M9">
        <v>1700</v>
      </c>
      <c r="N9">
        <v>5.40176470588235</v>
      </c>
      <c r="P9" s="3">
        <v>8</v>
      </c>
      <c r="Q9" s="4">
        <v>1.61473952781899</v>
      </c>
      <c r="R9">
        <v>312.742684227562</v>
      </c>
    </row>
    <row r="10" ht="16.5" spans="5:18">
      <c r="E10" s="3">
        <v>38</v>
      </c>
      <c r="F10" s="4">
        <v>4837.43969661622</v>
      </c>
      <c r="G10">
        <v>26.545998366989</v>
      </c>
      <c r="L10">
        <v>39</v>
      </c>
      <c r="M10">
        <v>1850</v>
      </c>
      <c r="N10">
        <v>6.07945945945946</v>
      </c>
      <c r="P10" s="3">
        <v>9</v>
      </c>
      <c r="Q10" s="4">
        <v>1.72914495500148</v>
      </c>
      <c r="R10">
        <v>368.068102353427</v>
      </c>
    </row>
    <row r="11" ht="16.5" spans="5:18">
      <c r="E11" s="3">
        <v>40</v>
      </c>
      <c r="F11" s="4">
        <v>5043.63141056755</v>
      </c>
      <c r="G11">
        <v>29.1497116430702</v>
      </c>
      <c r="L11">
        <v>41</v>
      </c>
      <c r="M11">
        <v>1950</v>
      </c>
      <c r="N11">
        <v>6.60307692307692</v>
      </c>
      <c r="P11" s="3">
        <v>10</v>
      </c>
      <c r="Q11" s="4">
        <v>1.85165608687709</v>
      </c>
      <c r="R11">
        <v>433.180805826548</v>
      </c>
    </row>
    <row r="12" ht="16.5" spans="5:18">
      <c r="E12" s="3">
        <v>42</v>
      </c>
      <c r="F12" s="4">
        <v>5244.62181643589</v>
      </c>
      <c r="G12">
        <v>30.8771638379044</v>
      </c>
      <c r="L12">
        <v>43</v>
      </c>
      <c r="M12">
        <v>2050</v>
      </c>
      <c r="N12">
        <v>7.19073170731707</v>
      </c>
      <c r="P12" s="3">
        <v>11</v>
      </c>
      <c r="Q12" s="4">
        <v>1.98284721830394</v>
      </c>
      <c r="R12">
        <v>509.812204145731</v>
      </c>
    </row>
    <row r="13" ht="16.5" spans="5:18">
      <c r="E13" s="3">
        <v>44</v>
      </c>
      <c r="F13" s="4">
        <v>5439.1128987652</v>
      </c>
      <c r="G13">
        <v>31.550662365103</v>
      </c>
      <c r="L13">
        <v>45</v>
      </c>
      <c r="M13">
        <v>2150</v>
      </c>
      <c r="N13">
        <v>7.8493023255814</v>
      </c>
      <c r="P13" s="3">
        <v>12</v>
      </c>
      <c r="Q13" s="4">
        <v>2.12333333333333</v>
      </c>
      <c r="R13">
        <v>600</v>
      </c>
    </row>
    <row r="14" ht="16.5" spans="5:18">
      <c r="E14" s="3">
        <v>46</v>
      </c>
      <c r="F14" s="4">
        <v>5640.81647084679</v>
      </c>
      <c r="G14">
        <v>32.2388513693324</v>
      </c>
      <c r="L14">
        <v>47</v>
      </c>
      <c r="M14">
        <v>2250</v>
      </c>
      <c r="N14">
        <v>8.58666666666667</v>
      </c>
      <c r="P14" s="3">
        <v>13</v>
      </c>
      <c r="Q14" s="4">
        <v>2.25289801631774</v>
      </c>
      <c r="R14">
        <v>635.861499108351</v>
      </c>
    </row>
    <row r="15" ht="16.5" spans="5:18">
      <c r="E15" s="3">
        <v>47</v>
      </c>
      <c r="F15" s="4">
        <v>5744.4561408765</v>
      </c>
      <c r="G15">
        <v>32.588554663915</v>
      </c>
      <c r="L15">
        <v>48</v>
      </c>
      <c r="M15">
        <v>2350</v>
      </c>
      <c r="N15">
        <v>8.79659574468085</v>
      </c>
      <c r="P15" s="3">
        <v>14</v>
      </c>
      <c r="Q15" s="4">
        <v>2.39036866809815</v>
      </c>
      <c r="R15">
        <v>673.866410080533</v>
      </c>
    </row>
    <row r="16" ht="16.5" spans="5:18">
      <c r="E16" s="3">
        <v>49</v>
      </c>
      <c r="F16" s="4">
        <v>5945.22192768893</v>
      </c>
      <c r="G16">
        <v>33.6921495451276</v>
      </c>
      <c r="L16">
        <v>50</v>
      </c>
      <c r="M16">
        <v>2450</v>
      </c>
      <c r="N16">
        <v>9.66</v>
      </c>
      <c r="P16" s="3">
        <v>15</v>
      </c>
      <c r="Q16" s="4">
        <v>2.53622770673143</v>
      </c>
      <c r="R16">
        <v>714.142842854285</v>
      </c>
    </row>
    <row r="17" ht="16.5" spans="5:18">
      <c r="E17" s="3">
        <v>50</v>
      </c>
      <c r="F17" s="4">
        <v>6041.99380674756</v>
      </c>
      <c r="G17">
        <v>34.4593277222462</v>
      </c>
      <c r="L17">
        <v>51</v>
      </c>
      <c r="M17">
        <v>2550</v>
      </c>
      <c r="N17">
        <v>9.93058823529412</v>
      </c>
      <c r="P17" s="3">
        <v>16</v>
      </c>
      <c r="Q17" s="4">
        <v>2.69098698717048</v>
      </c>
      <c r="R17">
        <v>756.826564391376</v>
      </c>
    </row>
    <row r="18" ht="16.5" spans="5:18">
      <c r="E18" s="3">
        <v>52</v>
      </c>
      <c r="F18" s="4">
        <v>6240.28874543178</v>
      </c>
      <c r="G18">
        <v>36.0464883289205</v>
      </c>
      <c r="L18">
        <v>53</v>
      </c>
      <c r="M18">
        <v>2650</v>
      </c>
      <c r="N18">
        <v>10.94</v>
      </c>
      <c r="P18" s="3">
        <v>17</v>
      </c>
      <c r="Q18" s="4">
        <v>2.85518959748818</v>
      </c>
      <c r="R18">
        <v>802.061456331539</v>
      </c>
    </row>
    <row r="19" ht="16.5" spans="5:18">
      <c r="E19" s="3">
        <v>53</v>
      </c>
      <c r="F19" s="4">
        <v>6341.86350161563</v>
      </c>
      <c r="G19">
        <v>36.8672753544163</v>
      </c>
      <c r="L19">
        <v>54</v>
      </c>
      <c r="M19">
        <v>2744.79153255573</v>
      </c>
      <c r="N19">
        <v>11.3013694765285</v>
      </c>
      <c r="P19" s="3">
        <v>18</v>
      </c>
      <c r="Q19" s="4">
        <v>3.02941176470588</v>
      </c>
      <c r="R19">
        <v>850</v>
      </c>
    </row>
    <row r="20" ht="16.5" spans="5:18">
      <c r="E20" s="3">
        <v>54</v>
      </c>
      <c r="F20" s="4">
        <v>6445.0916157633</v>
      </c>
      <c r="G20">
        <v>37.7067518937165</v>
      </c>
      <c r="L20">
        <v>55</v>
      </c>
      <c r="M20">
        <v>2842.9737951659</v>
      </c>
      <c r="N20">
        <v>11.6746756896719</v>
      </c>
      <c r="P20" s="3">
        <v>19</v>
      </c>
      <c r="Q20" s="4">
        <v>3.14157689902838</v>
      </c>
      <c r="R20">
        <v>886.692429238615</v>
      </c>
    </row>
    <row r="21" ht="16.5" spans="5:18">
      <c r="E21" s="3">
        <v>55</v>
      </c>
      <c r="F21" s="4">
        <v>6550</v>
      </c>
      <c r="G21">
        <v>38.5653435114504</v>
      </c>
      <c r="L21">
        <v>56</v>
      </c>
      <c r="M21">
        <v>2944.66807556573</v>
      </c>
      <c r="N21">
        <v>12.0603129330556</v>
      </c>
      <c r="P21" s="3">
        <v>20</v>
      </c>
      <c r="Q21" s="4">
        <v>3.25789499053689</v>
      </c>
      <c r="R21">
        <v>924.968781257736</v>
      </c>
    </row>
    <row r="22" ht="16.5" spans="5:18">
      <c r="E22" s="3">
        <v>56</v>
      </c>
      <c r="F22" s="4">
        <v>6645.70148473609</v>
      </c>
      <c r="G22">
        <v>39.1282490430137</v>
      </c>
      <c r="L22">
        <v>57</v>
      </c>
      <c r="M22">
        <v>3050</v>
      </c>
      <c r="N22">
        <v>12.4586885245902</v>
      </c>
      <c r="P22" s="3">
        <v>21</v>
      </c>
      <c r="Q22" s="4">
        <v>3.37851980406654</v>
      </c>
      <c r="R22">
        <v>964.897430145062</v>
      </c>
    </row>
    <row r="23" ht="16.5" spans="5:18">
      <c r="E23" s="3">
        <v>57</v>
      </c>
      <c r="F23" s="4">
        <v>6742.80125560663</v>
      </c>
      <c r="G23">
        <v>39.6993708280474</v>
      </c>
      <c r="L23">
        <v>58</v>
      </c>
      <c r="M23">
        <v>3141.36654907475</v>
      </c>
      <c r="N23">
        <v>12.9429469590671</v>
      </c>
      <c r="P23" s="3">
        <v>22</v>
      </c>
      <c r="Q23" s="4">
        <v>3.50361079765458</v>
      </c>
      <c r="R23">
        <v>1006.54970153108</v>
      </c>
    </row>
    <row r="24" ht="16.5" spans="5:18">
      <c r="E24" s="3">
        <v>58</v>
      </c>
      <c r="F24" s="4">
        <v>6841.31974284967</v>
      </c>
      <c r="G24">
        <v>40.2788287922181</v>
      </c>
      <c r="L24">
        <v>59</v>
      </c>
      <c r="M24">
        <v>3235.47009693304</v>
      </c>
      <c r="N24">
        <v>13.4460280995535</v>
      </c>
      <c r="P24" s="3">
        <v>23</v>
      </c>
      <c r="Q24" s="4">
        <v>3.63333333333333</v>
      </c>
      <c r="R24">
        <v>1050</v>
      </c>
    </row>
    <row r="25" ht="16.5" spans="5:18">
      <c r="E25" s="3">
        <v>59</v>
      </c>
      <c r="F25" s="4">
        <v>6941.27767520769</v>
      </c>
      <c r="G25">
        <v>40.8667446116454</v>
      </c>
      <c r="L25">
        <v>60</v>
      </c>
      <c r="M25">
        <v>3332.39263378265</v>
      </c>
      <c r="N25">
        <v>13.9686635683327</v>
      </c>
      <c r="P25" s="3">
        <v>24</v>
      </c>
      <c r="Q25" s="4">
        <v>3.72153590478363</v>
      </c>
      <c r="R25">
        <v>1096.77988672564</v>
      </c>
    </row>
    <row r="26" ht="16.5" spans="5:18">
      <c r="E26" s="3">
        <v>60</v>
      </c>
      <c r="F26" s="4">
        <v>7042.69608428904</v>
      </c>
      <c r="G26">
        <v>41.4632417384517</v>
      </c>
      <c r="L26">
        <v>61</v>
      </c>
      <c r="M26">
        <v>3432.21860595014</v>
      </c>
      <c r="N26">
        <v>14.5116134252124</v>
      </c>
      <c r="P26" s="3">
        <v>25</v>
      </c>
      <c r="Q26" s="4">
        <v>3.81187967631019</v>
      </c>
      <c r="R26">
        <v>1145.64392373896</v>
      </c>
    </row>
    <row r="27" ht="16.5" spans="5:18">
      <c r="E27" s="3">
        <v>61</v>
      </c>
      <c r="F27" s="4">
        <v>7145.59630899308</v>
      </c>
      <c r="G27">
        <v>42.0684454266851</v>
      </c>
      <c r="L27">
        <v>62</v>
      </c>
      <c r="M27">
        <v>3535.03498945696</v>
      </c>
      <c r="N27">
        <v>15.0756672728672</v>
      </c>
      <c r="P27" s="3">
        <v>26</v>
      </c>
      <c r="Q27" s="4">
        <v>3.90441662755138</v>
      </c>
      <c r="R27">
        <v>1196.6849646727</v>
      </c>
    </row>
    <row r="28" ht="16.5" spans="5:18">
      <c r="E28" s="3">
        <v>62</v>
      </c>
      <c r="F28" s="4">
        <v>7250</v>
      </c>
      <c r="G28">
        <v>42.6824827586207</v>
      </c>
      <c r="L28">
        <v>63</v>
      </c>
      <c r="M28">
        <v>3640.93136579963</v>
      </c>
      <c r="N28">
        <v>15.6616454051437</v>
      </c>
      <c r="P28" s="3">
        <v>27</v>
      </c>
      <c r="Q28" s="4">
        <v>3.9992</v>
      </c>
      <c r="R28">
        <v>1250</v>
      </c>
    </row>
    <row r="29" ht="16.5" spans="5:18">
      <c r="E29" s="3">
        <v>63</v>
      </c>
      <c r="F29" s="4">
        <v>7335.05364242499</v>
      </c>
      <c r="G29">
        <v>43.6391350510803</v>
      </c>
      <c r="L29">
        <v>64</v>
      </c>
      <c r="M29">
        <v>3750</v>
      </c>
      <c r="N29">
        <v>16.2704</v>
      </c>
      <c r="P29" s="3">
        <v>28</v>
      </c>
      <c r="Q29" s="4">
        <v>4.120062893725</v>
      </c>
      <c r="R29">
        <v>1298.12352546278</v>
      </c>
    </row>
    <row r="30" ht="16.5" spans="5:18">
      <c r="E30" s="3">
        <v>64</v>
      </c>
      <c r="F30" s="4">
        <v>7421.10509479339</v>
      </c>
      <c r="G30">
        <v>44.6172290111637</v>
      </c>
      <c r="L30">
        <v>65</v>
      </c>
      <c r="M30">
        <v>3842.81661366692</v>
      </c>
      <c r="N30">
        <v>16.9886833077263</v>
      </c>
      <c r="P30" s="3">
        <v>29</v>
      </c>
      <c r="Q30" s="4">
        <v>4.24457847775795</v>
      </c>
      <c r="R30">
        <v>1348.09974988793</v>
      </c>
    </row>
    <row r="31" ht="16.5" spans="5:18">
      <c r="E31" s="3">
        <v>65</v>
      </c>
      <c r="F31" s="4">
        <v>7508.16606294936</v>
      </c>
      <c r="G31">
        <v>45.6172452158935</v>
      </c>
      <c r="L31">
        <v>66</v>
      </c>
      <c r="M31">
        <v>3937.93054033986</v>
      </c>
      <c r="N31">
        <v>17.7386764019458</v>
      </c>
      <c r="P31" s="3">
        <v>30</v>
      </c>
      <c r="Q31" s="4">
        <v>4.37285714285714</v>
      </c>
      <c r="R31">
        <v>1400</v>
      </c>
    </row>
    <row r="32" ht="16.5" spans="5:18">
      <c r="E32" s="3">
        <v>66</v>
      </c>
      <c r="F32" s="4">
        <v>7596.24839006461</v>
      </c>
      <c r="G32">
        <v>46.6396750135759</v>
      </c>
      <c r="L32">
        <v>67</v>
      </c>
      <c r="M32">
        <v>4035.39864103584</v>
      </c>
      <c r="N32">
        <v>18.5217791628291</v>
      </c>
      <c r="P32" s="3">
        <v>31</v>
      </c>
      <c r="Q32" s="4">
        <v>4.5225298189377</v>
      </c>
      <c r="R32">
        <v>1448.31353669555</v>
      </c>
    </row>
    <row r="33" ht="16.5" spans="5:18">
      <c r="E33" s="3">
        <v>67</v>
      </c>
      <c r="F33" s="4">
        <v>7685.36405824943</v>
      </c>
      <c r="G33">
        <v>47.685020765219</v>
      </c>
      <c r="L33">
        <v>68</v>
      </c>
      <c r="M33">
        <v>4135.27918414438</v>
      </c>
      <c r="N33">
        <v>19.3394532705371</v>
      </c>
      <c r="P33" s="3">
        <v>32</v>
      </c>
      <c r="Q33" s="4">
        <v>4.67732544077964</v>
      </c>
      <c r="R33">
        <v>1498.29435755398</v>
      </c>
    </row>
    <row r="34" ht="16.5" spans="5:18">
      <c r="E34" s="3">
        <v>68</v>
      </c>
      <c r="F34" s="4">
        <v>7775.5251901827</v>
      </c>
      <c r="G34">
        <v>48.7537960913642</v>
      </c>
      <c r="L34">
        <v>69</v>
      </c>
      <c r="M34">
        <v>4237.6318802616</v>
      </c>
      <c r="N34">
        <v>20.1932249334821</v>
      </c>
      <c r="P34" s="3">
        <v>33</v>
      </c>
      <c r="Q34" s="4">
        <v>4.83741935483871</v>
      </c>
      <c r="R34">
        <v>1550</v>
      </c>
    </row>
    <row r="35" ht="16.5" spans="5:18">
      <c r="E35" s="3">
        <v>69</v>
      </c>
      <c r="F35" s="4">
        <v>7866.74405076094</v>
      </c>
      <c r="G35">
        <v>49.8465261244476</v>
      </c>
      <c r="L35">
        <v>70</v>
      </c>
      <c r="M35">
        <v>4342.51791788636</v>
      </c>
      <c r="N35">
        <v>21.0846877370323</v>
      </c>
      <c r="P35" s="3">
        <v>34</v>
      </c>
      <c r="Q35" s="4">
        <v>5.01865928891358</v>
      </c>
      <c r="R35">
        <v>1598.46858678446</v>
      </c>
    </row>
    <row r="36" ht="16.5" spans="5:18">
      <c r="E36" s="3">
        <v>70</v>
      </c>
      <c r="F36" s="4">
        <v>7959.03304876678</v>
      </c>
      <c r="G36">
        <v>50.9637477668196</v>
      </c>
      <c r="L36">
        <v>71</v>
      </c>
      <c r="M36">
        <v>4450</v>
      </c>
      <c r="N36">
        <v>22.0155056179775</v>
      </c>
      <c r="P36" s="3">
        <v>35</v>
      </c>
      <c r="Q36" s="4">
        <v>5.20668960258838</v>
      </c>
      <c r="R36">
        <v>1648.45278899141</v>
      </c>
    </row>
    <row r="37" ht="16.5" spans="5:18">
      <c r="E37" s="3">
        <v>71</v>
      </c>
      <c r="F37" s="4">
        <v>8052.40473855691</v>
      </c>
      <c r="G37">
        <v>52.1060099545461</v>
      </c>
      <c r="L37">
        <v>72</v>
      </c>
      <c r="M37">
        <v>4543.84909095115</v>
      </c>
      <c r="N37">
        <v>23.0699293176952</v>
      </c>
      <c r="P37" s="3">
        <v>36</v>
      </c>
      <c r="Q37" s="4">
        <v>5.40176470588235</v>
      </c>
      <c r="R37">
        <v>1700</v>
      </c>
    </row>
    <row r="38" ht="16.5" spans="5:18">
      <c r="E38" s="3">
        <v>72</v>
      </c>
      <c r="F38" s="4">
        <v>8146.87182176995</v>
      </c>
      <c r="G38">
        <v>53.2738739271233</v>
      </c>
      <c r="L38">
        <v>73</v>
      </c>
      <c r="M38">
        <v>4639.67742951406</v>
      </c>
      <c r="N38">
        <v>24.1748542122444</v>
      </c>
      <c r="P38" s="3">
        <v>37</v>
      </c>
      <c r="Q38" s="4">
        <v>5.61882402706322</v>
      </c>
      <c r="R38">
        <v>1748.59751577776</v>
      </c>
    </row>
    <row r="39" ht="16.5" spans="5:18">
      <c r="E39" s="3">
        <v>73</v>
      </c>
      <c r="F39" s="4">
        <v>8242.44714905423</v>
      </c>
      <c r="G39">
        <v>54.467913503237</v>
      </c>
      <c r="L39">
        <v>74</v>
      </c>
      <c r="M39">
        <v>4737.52675739416</v>
      </c>
      <c r="N39">
        <v>25.3326990358398</v>
      </c>
      <c r="P39" s="3">
        <v>38</v>
      </c>
      <c r="Q39" s="4">
        <v>5.84460545138571</v>
      </c>
      <c r="R39">
        <v>1798.58427775538</v>
      </c>
    </row>
    <row r="40" ht="16.5" spans="5:18">
      <c r="E40" s="3">
        <v>74</v>
      </c>
      <c r="F40" s="4">
        <v>8339.14372181596</v>
      </c>
      <c r="G40">
        <v>55.6887153627033</v>
      </c>
      <c r="L40">
        <v>75</v>
      </c>
      <c r="M40">
        <v>4837.43969661622</v>
      </c>
      <c r="N40">
        <v>26.545998366989</v>
      </c>
      <c r="P40" s="3">
        <v>39</v>
      </c>
      <c r="Q40" s="4">
        <v>6.07945945945946</v>
      </c>
      <c r="R40">
        <v>1850</v>
      </c>
    </row>
    <row r="41" ht="16.5" spans="5:18">
      <c r="E41" s="3">
        <v>75</v>
      </c>
      <c r="F41" s="4">
        <v>8436.97469398781</v>
      </c>
      <c r="G41">
        <v>56.9368793347276</v>
      </c>
      <c r="L41">
        <v>76</v>
      </c>
      <c r="M41">
        <v>4939.45976809002</v>
      </c>
      <c r="N41">
        <v>27.817408176808</v>
      </c>
      <c r="P41" s="3">
        <v>40</v>
      </c>
      <c r="Q41" s="4">
        <v>6.33586130384326</v>
      </c>
      <c r="R41">
        <v>1899.34199132226</v>
      </c>
    </row>
    <row r="42" ht="16.5" spans="5:18">
      <c r="E42" s="3">
        <v>76</v>
      </c>
      <c r="F42" s="4">
        <v>8535.9533738183</v>
      </c>
      <c r="G42">
        <v>58.2130186926253</v>
      </c>
      <c r="L42">
        <v>77</v>
      </c>
      <c r="M42">
        <v>5043.63141056755</v>
      </c>
      <c r="N42">
        <v>29.1497116430702</v>
      </c>
      <c r="P42" s="3">
        <v>41</v>
      </c>
      <c r="Q42" s="4">
        <v>6.60307692307692</v>
      </c>
      <c r="R42">
        <v>1950</v>
      </c>
    </row>
    <row r="43" ht="16.5" spans="5:18">
      <c r="E43" s="3">
        <v>77</v>
      </c>
      <c r="F43" s="4">
        <v>8636.09322568218</v>
      </c>
      <c r="G43">
        <v>59.5177604551472</v>
      </c>
      <c r="L43">
        <v>78</v>
      </c>
      <c r="M43">
        <v>5150</v>
      </c>
      <c r="N43">
        <v>30.5458252427184</v>
      </c>
      <c r="P43" s="3">
        <v>42</v>
      </c>
      <c r="Q43" s="4">
        <v>6.89064253873489</v>
      </c>
      <c r="R43">
        <v>1999.37490231322</v>
      </c>
    </row>
    <row r="44" ht="16.5" spans="5:18">
      <c r="E44" s="3">
        <v>78</v>
      </c>
      <c r="F44" s="4">
        <v>8737.40787191198</v>
      </c>
      <c r="G44">
        <v>60.8517456945596</v>
      </c>
      <c r="L44">
        <v>79</v>
      </c>
      <c r="M44">
        <v>5340.98213542433</v>
      </c>
      <c r="N44">
        <v>31.2120965499226</v>
      </c>
      <c r="P44" s="3">
        <v>43</v>
      </c>
      <c r="Q44" s="4">
        <v>7.19073170731707</v>
      </c>
      <c r="R44">
        <v>2050</v>
      </c>
    </row>
    <row r="45" ht="16.5" spans="5:18">
      <c r="E45" s="3">
        <v>79</v>
      </c>
      <c r="F45" s="4">
        <v>8839.91109465113</v>
      </c>
      <c r="G45">
        <v>62.215629851629</v>
      </c>
      <c r="L45">
        <v>80</v>
      </c>
      <c r="M45">
        <v>5539.04663513045</v>
      </c>
      <c r="N45">
        <v>31.8929006926706</v>
      </c>
      <c r="P45" s="3">
        <v>44</v>
      </c>
      <c r="Q45" s="4">
        <v>7.51280421100376</v>
      </c>
      <c r="R45">
        <v>2099.4046775217</v>
      </c>
    </row>
    <row r="46" ht="16.5" spans="5:18">
      <c r="E46" s="3">
        <v>80</v>
      </c>
      <c r="F46" s="4">
        <v>8943.61683772881</v>
      </c>
      <c r="G46">
        <v>63.610083057666</v>
      </c>
      <c r="L46">
        <v>81</v>
      </c>
      <c r="M46">
        <v>5744.4561408765</v>
      </c>
      <c r="N46">
        <v>32.588554663915</v>
      </c>
      <c r="P46" s="3">
        <v>45</v>
      </c>
      <c r="Q46" s="4">
        <v>7.8493023255814</v>
      </c>
      <c r="R46">
        <v>2150</v>
      </c>
    </row>
    <row r="47" ht="16.5" spans="5:18">
      <c r="E47" s="3">
        <v>81</v>
      </c>
      <c r="F47" s="4">
        <v>9048.53920855671</v>
      </c>
      <c r="G47">
        <v>65.0357904637885</v>
      </c>
      <c r="L47">
        <v>82</v>
      </c>
      <c r="M47">
        <v>5945.22192768893</v>
      </c>
      <c r="N47">
        <v>33.6921495451276</v>
      </c>
      <c r="P47" s="3">
        <v>46</v>
      </c>
      <c r="Q47" s="4">
        <v>8.20971026502512</v>
      </c>
      <c r="R47">
        <v>2199.43174479228</v>
      </c>
    </row>
    <row r="48" ht="16.5" spans="5:18">
      <c r="E48" s="3">
        <v>82</v>
      </c>
      <c r="F48" s="4">
        <v>9154.69248004817</v>
      </c>
      <c r="G48">
        <v>66.4934525775637</v>
      </c>
      <c r="L48">
        <v>83</v>
      </c>
      <c r="M48">
        <v>6140.34086612586</v>
      </c>
      <c r="N48">
        <v>35.2439747270706</v>
      </c>
      <c r="P48" s="3">
        <v>47</v>
      </c>
      <c r="Q48" s="4">
        <v>8.58666666666667</v>
      </c>
      <c r="R48">
        <v>2250</v>
      </c>
    </row>
    <row r="49" ht="16.5" spans="5:18">
      <c r="E49" s="3">
        <v>83</v>
      </c>
      <c r="F49" s="4">
        <v>9262.09109255972</v>
      </c>
      <c r="G49">
        <v>67.9837856071959</v>
      </c>
      <c r="L49">
        <v>84</v>
      </c>
      <c r="M49">
        <v>6341.86350161563</v>
      </c>
      <c r="N49">
        <v>36.8672753544163</v>
      </c>
      <c r="P49" s="3">
        <v>48</v>
      </c>
      <c r="Q49" s="4">
        <v>8.79659574468085</v>
      </c>
      <c r="R49">
        <v>2350</v>
      </c>
    </row>
    <row r="50" ht="16.5" spans="5:18">
      <c r="E50" s="3">
        <v>84</v>
      </c>
      <c r="F50" s="4">
        <v>9370.74965585547</v>
      </c>
      <c r="G50">
        <v>69.5075218134284</v>
      </c>
      <c r="L50">
        <v>85</v>
      </c>
      <c r="M50">
        <v>6550</v>
      </c>
      <c r="N50">
        <v>38.5653435114504</v>
      </c>
      <c r="P50" s="3">
        <v>49</v>
      </c>
      <c r="Q50" s="4">
        <v>9.2181947741202</v>
      </c>
      <c r="R50">
        <v>2399.47911014037</v>
      </c>
    </row>
    <row r="51" ht="16.5" spans="5:18">
      <c r="E51" s="3">
        <v>85</v>
      </c>
      <c r="F51" s="4">
        <v>9480.68295109454</v>
      </c>
      <c r="G51">
        <v>71.0654098693328</v>
      </c>
      <c r="L51">
        <v>86</v>
      </c>
      <c r="M51">
        <v>6742.80125560663</v>
      </c>
      <c r="N51">
        <v>39.6993708280474</v>
      </c>
      <c r="P51" s="3">
        <v>50</v>
      </c>
      <c r="Q51" s="4">
        <v>9.66</v>
      </c>
      <c r="R51">
        <v>2450</v>
      </c>
    </row>
    <row r="52" ht="16.5" spans="5:18">
      <c r="E52" s="3">
        <v>86</v>
      </c>
      <c r="F52" s="4">
        <v>9591.90593284172</v>
      </c>
      <c r="G52">
        <v>72.6582152281623</v>
      </c>
      <c r="L52">
        <v>87</v>
      </c>
      <c r="M52">
        <v>6941.27767520769</v>
      </c>
      <c r="N52">
        <v>40.8667446116454</v>
      </c>
      <c r="P52" s="3">
        <v>51</v>
      </c>
      <c r="Q52" s="4">
        <v>9.93058823529412</v>
      </c>
      <c r="R52">
        <v>2550</v>
      </c>
    </row>
    <row r="53" ht="16.5" spans="5:18">
      <c r="E53" s="3">
        <v>87</v>
      </c>
      <c r="F53" s="4">
        <v>9704.43373110186</v>
      </c>
      <c r="G53">
        <v>74.2867204994496</v>
      </c>
      <c r="L53">
        <v>88</v>
      </c>
      <c r="M53">
        <v>7145.59630899308</v>
      </c>
      <c r="N53">
        <v>42.0684454266851</v>
      </c>
      <c r="P53" s="3">
        <v>52</v>
      </c>
      <c r="Q53" s="4">
        <v>10.42308185203</v>
      </c>
      <c r="R53">
        <v>2599.51918631119</v>
      </c>
    </row>
    <row r="54" ht="16.5" spans="5:18">
      <c r="E54" s="3">
        <v>88</v>
      </c>
      <c r="F54" s="4">
        <v>9818.28165337802</v>
      </c>
      <c r="G54">
        <v>75.9517258335348</v>
      </c>
      <c r="L54">
        <v>89</v>
      </c>
      <c r="M54">
        <v>7335.05364242499</v>
      </c>
      <c r="N54">
        <v>43.6391350510803</v>
      </c>
      <c r="P54" s="3">
        <v>53</v>
      </c>
      <c r="Q54" s="4">
        <v>10.94</v>
      </c>
      <c r="R54">
        <v>2650</v>
      </c>
    </row>
    <row r="55" ht="16.5" spans="5:18">
      <c r="E55" s="3">
        <v>89</v>
      </c>
      <c r="F55" s="4">
        <v>9933.46518675378</v>
      </c>
      <c r="G55">
        <v>77.6540493147114</v>
      </c>
      <c r="L55">
        <v>90</v>
      </c>
      <c r="M55">
        <v>7508.16606294936</v>
      </c>
      <c r="N55">
        <v>45.6172452158935</v>
      </c>
      <c r="P55" s="3">
        <v>54</v>
      </c>
      <c r="Q55" s="4">
        <v>11.3013694765285</v>
      </c>
      <c r="R55">
        <v>2744.79153255573</v>
      </c>
    </row>
    <row r="56" ht="16.5" spans="5:18">
      <c r="E56" s="3">
        <v>90</v>
      </c>
      <c r="F56" s="4">
        <v>10050</v>
      </c>
      <c r="G56">
        <v>79.394527363184</v>
      </c>
      <c r="L56">
        <v>91</v>
      </c>
      <c r="M56">
        <v>7685.36405824943</v>
      </c>
      <c r="N56">
        <v>47.685020765219</v>
      </c>
      <c r="P56" s="3">
        <v>55</v>
      </c>
      <c r="Q56" s="4">
        <v>11.6746756896719</v>
      </c>
      <c r="R56">
        <v>2842.9737951659</v>
      </c>
    </row>
    <row r="57" ht="16.5" spans="5:18">
      <c r="E57" s="3">
        <v>91</v>
      </c>
      <c r="F57" s="4">
        <v>10137.8892709732</v>
      </c>
      <c r="G57">
        <v>80.7227174529548</v>
      </c>
      <c r="L57">
        <v>92</v>
      </c>
      <c r="M57">
        <v>7866.74405076094</v>
      </c>
      <c r="N57">
        <v>49.8465261244476</v>
      </c>
      <c r="P57" s="3">
        <v>56</v>
      </c>
      <c r="Q57" s="4">
        <v>12.0603129330556</v>
      </c>
      <c r="R57">
        <v>2944.66807556573</v>
      </c>
    </row>
    <row r="58" ht="16.5" spans="5:18">
      <c r="E58" s="3">
        <v>92</v>
      </c>
      <c r="F58" s="4">
        <v>10226.547151295</v>
      </c>
      <c r="G58">
        <v>82.0731268187027</v>
      </c>
      <c r="L58">
        <v>93</v>
      </c>
      <c r="M58">
        <v>8052.40473855691</v>
      </c>
      <c r="N58">
        <v>52.1060099545461</v>
      </c>
      <c r="P58" s="3">
        <v>57</v>
      </c>
      <c r="Q58" s="4">
        <v>12.4586885245902</v>
      </c>
      <c r="R58">
        <v>3050</v>
      </c>
    </row>
    <row r="59" ht="16.5" spans="5:18">
      <c r="E59" s="3">
        <v>93</v>
      </c>
      <c r="F59" s="4">
        <v>10315.9803626085</v>
      </c>
      <c r="G59">
        <v>83.4461271664274</v>
      </c>
      <c r="L59">
        <v>94</v>
      </c>
      <c r="M59">
        <v>8242.44714905423</v>
      </c>
      <c r="N59">
        <v>54.467913503237</v>
      </c>
      <c r="P59" s="3">
        <v>58</v>
      </c>
      <c r="Q59" s="4">
        <v>12.9429469590671</v>
      </c>
      <c r="R59">
        <v>3141.36654907475</v>
      </c>
    </row>
    <row r="60" ht="16.5" spans="5:18">
      <c r="E60" s="3">
        <v>94</v>
      </c>
      <c r="F60" s="4">
        <v>10406.1956853392</v>
      </c>
      <c r="G60">
        <v>84.8420964203938</v>
      </c>
      <c r="L60">
        <v>95</v>
      </c>
      <c r="M60">
        <v>8436.97469398781</v>
      </c>
      <c r="N60">
        <v>56.9368793347276</v>
      </c>
      <c r="P60" s="3">
        <v>59</v>
      </c>
      <c r="Q60" s="4">
        <v>13.4460280995535</v>
      </c>
      <c r="R60">
        <v>3235.47009693304</v>
      </c>
    </row>
    <row r="61" ht="16.5" spans="5:18">
      <c r="E61" s="3">
        <v>95</v>
      </c>
      <c r="F61" s="4">
        <v>10497.1999592088</v>
      </c>
      <c r="G61">
        <v>86.2614188271569</v>
      </c>
      <c r="L61">
        <v>96</v>
      </c>
      <c r="M61">
        <v>8636.09322568218</v>
      </c>
      <c r="N61">
        <v>59.5177604551472</v>
      </c>
      <c r="P61" s="3">
        <v>60</v>
      </c>
      <c r="Q61" s="4">
        <v>13.9686635683327</v>
      </c>
      <c r="R61">
        <v>3332.39263378265</v>
      </c>
    </row>
    <row r="62" ht="16.5" spans="5:18">
      <c r="E62" s="3">
        <v>96</v>
      </c>
      <c r="F62" s="4">
        <v>10589.0000837536</v>
      </c>
      <c r="G62">
        <v>87.704485061328</v>
      </c>
      <c r="L62">
        <v>97</v>
      </c>
      <c r="M62">
        <v>8839.91109465113</v>
      </c>
      <c r="N62">
        <v>62.215629851629</v>
      </c>
      <c r="P62" s="3">
        <v>61</v>
      </c>
      <c r="Q62" s="4">
        <v>14.5116134252124</v>
      </c>
      <c r="R62">
        <v>3432.21860595014</v>
      </c>
    </row>
    <row r="63" ht="16.5" spans="5:18">
      <c r="E63" s="3">
        <v>97</v>
      </c>
      <c r="F63" s="4">
        <v>10681.6030188478</v>
      </c>
      <c r="G63">
        <v>89.1716923331092</v>
      </c>
      <c r="L63">
        <v>98</v>
      </c>
      <c r="M63">
        <v>9048.53920855671</v>
      </c>
      <c r="N63">
        <v>65.0357904637885</v>
      </c>
      <c r="P63" s="3">
        <v>62</v>
      </c>
      <c r="Q63" s="4">
        <v>15.0756672728672</v>
      </c>
      <c r="R63">
        <v>3535.03498945696</v>
      </c>
    </row>
    <row r="64" ht="16.5" spans="5:18">
      <c r="E64" s="3">
        <v>98</v>
      </c>
      <c r="F64" s="4">
        <v>10775.0157852311</v>
      </c>
      <c r="G64">
        <v>90.6634444976273</v>
      </c>
      <c r="L64">
        <v>99</v>
      </c>
      <c r="M64">
        <v>9262.09109255972</v>
      </c>
      <c r="N64">
        <v>67.9837856071959</v>
      </c>
      <c r="P64" s="3">
        <v>63</v>
      </c>
      <c r="Q64" s="4">
        <v>15.6616454051437</v>
      </c>
      <c r="R64">
        <v>3640.93136579963</v>
      </c>
    </row>
    <row r="65" ht="16.5" spans="5:18">
      <c r="E65" s="3">
        <v>99</v>
      </c>
      <c r="F65" s="4">
        <v>10869.245465041</v>
      </c>
      <c r="G65">
        <v>92.1801521660964</v>
      </c>
      <c r="L65">
        <v>100</v>
      </c>
      <c r="M65">
        <v>9480.68295109454</v>
      </c>
      <c r="N65">
        <v>71.0654098693328</v>
      </c>
      <c r="P65" s="3">
        <v>64</v>
      </c>
      <c r="Q65" s="4">
        <v>16.2704</v>
      </c>
      <c r="R65">
        <v>3750</v>
      </c>
    </row>
    <row r="66" ht="16.5" spans="5:18">
      <c r="E66" s="3">
        <v>100</v>
      </c>
      <c r="F66" s="4">
        <v>10964.2992023496</v>
      </c>
      <c r="G66">
        <v>93.7222328188409</v>
      </c>
      <c r="L66">
        <v>101</v>
      </c>
      <c r="M66">
        <v>9704.43373110186</v>
      </c>
      <c r="N66">
        <v>74.2867204994496</v>
      </c>
      <c r="P66" s="3">
        <v>65</v>
      </c>
      <c r="Q66" s="4">
        <v>16.9886833077263</v>
      </c>
      <c r="R66">
        <v>3842.81661366692</v>
      </c>
    </row>
    <row r="67" ht="16.5" spans="5:18">
      <c r="E67" s="3">
        <v>101</v>
      </c>
      <c r="F67" s="4">
        <v>11060.1842037055</v>
      </c>
      <c r="G67">
        <v>95.2901109202085</v>
      </c>
      <c r="L67">
        <v>102</v>
      </c>
      <c r="M67">
        <v>9933.46518675378</v>
      </c>
      <c r="N67">
        <v>77.6540493147114</v>
      </c>
      <c r="P67" s="3">
        <v>66</v>
      </c>
      <c r="Q67" s="4">
        <v>17.7386764019458</v>
      </c>
      <c r="R67">
        <v>3937.93054033986</v>
      </c>
    </row>
    <row r="68" ht="16.5" spans="5:18">
      <c r="E68" s="3">
        <v>102</v>
      </c>
      <c r="F68" s="4">
        <v>11156.90773868</v>
      </c>
      <c r="G68">
        <v>96.8842180354057</v>
      </c>
      <c r="L68">
        <v>103</v>
      </c>
      <c r="M68">
        <v>10137.8892709732</v>
      </c>
      <c r="N68">
        <v>80.7227174529548</v>
      </c>
      <c r="P68" s="3">
        <v>67</v>
      </c>
      <c r="Q68" s="4">
        <v>18.5217791628291</v>
      </c>
      <c r="R68">
        <v>4035.39864103584</v>
      </c>
    </row>
    <row r="69" ht="16.5" spans="5:18">
      <c r="E69" s="3">
        <v>103</v>
      </c>
      <c r="F69" s="4">
        <v>11254.4771404181</v>
      </c>
      <c r="G69">
        <v>98.5049929492882</v>
      </c>
      <c r="L69">
        <v>104</v>
      </c>
      <c r="M69">
        <v>10315.9803626085</v>
      </c>
      <c r="N69">
        <v>83.4461271664274</v>
      </c>
      <c r="P69" s="3">
        <v>68</v>
      </c>
      <c r="Q69" s="4">
        <v>19.3394532705371</v>
      </c>
      <c r="R69">
        <v>4135.27918414438</v>
      </c>
    </row>
    <row r="70" ht="16.5" spans="5:18">
      <c r="E70" s="3">
        <v>104</v>
      </c>
      <c r="F70" s="4">
        <v>11352.8998061949</v>
      </c>
      <c r="G70">
        <v>100.152881787138</v>
      </c>
      <c r="L70">
        <v>105</v>
      </c>
      <c r="M70">
        <v>10497.1999592088</v>
      </c>
      <c r="N70">
        <v>86.2614188271569</v>
      </c>
      <c r="P70" s="3">
        <v>69</v>
      </c>
      <c r="Q70" s="4">
        <v>20.1932249334821</v>
      </c>
      <c r="R70">
        <v>4237.6318802616</v>
      </c>
    </row>
    <row r="71" ht="16.5" spans="5:18">
      <c r="E71" s="3">
        <v>105</v>
      </c>
      <c r="F71" s="4">
        <v>11452.1831979758</v>
      </c>
      <c r="G71">
        <v>101.828338137463</v>
      </c>
      <c r="L71">
        <v>106</v>
      </c>
      <c r="M71">
        <v>10681.6030188478</v>
      </c>
      <c r="N71">
        <v>89.1716923331092</v>
      </c>
      <c r="P71" s="3">
        <v>70</v>
      </c>
      <c r="Q71" s="4">
        <v>21.0846877370323</v>
      </c>
      <c r="R71">
        <v>4342.51791788636</v>
      </c>
    </row>
    <row r="72" ht="16.5" spans="5:18">
      <c r="E72" s="3">
        <v>106</v>
      </c>
      <c r="F72" s="4">
        <v>11552.334842983</v>
      </c>
      <c r="G72">
        <v>103.531823176845</v>
      </c>
      <c r="L72">
        <v>107</v>
      </c>
      <c r="M72">
        <v>10869.245465041</v>
      </c>
      <c r="N72">
        <v>92.1801521660964</v>
      </c>
      <c r="P72" s="3">
        <v>71</v>
      </c>
      <c r="Q72" s="4">
        <v>22.0155056179775</v>
      </c>
      <c r="R72">
        <v>4450</v>
      </c>
    </row>
    <row r="73" ht="16.5" spans="5:18">
      <c r="E73" s="3">
        <v>107</v>
      </c>
      <c r="F73" s="4">
        <v>11653.3623342655</v>
      </c>
      <c r="G73">
        <v>105.263805796885</v>
      </c>
      <c r="L73">
        <v>108</v>
      </c>
      <c r="M73">
        <v>11060.1842037055</v>
      </c>
      <c r="N73">
        <v>95.2901109202085</v>
      </c>
      <c r="P73" s="3">
        <v>72</v>
      </c>
      <c r="Q73" s="4">
        <v>23.0699293176952</v>
      </c>
      <c r="R73">
        <v>4543.84909095115</v>
      </c>
    </row>
    <row r="74" ht="16.5" spans="5:18">
      <c r="E74" s="3">
        <v>108</v>
      </c>
      <c r="F74" s="4">
        <v>11755.273331275</v>
      </c>
      <c r="G74">
        <v>107.024762733267</v>
      </c>
      <c r="L74">
        <v>109</v>
      </c>
      <c r="M74">
        <v>11254.4771404181</v>
      </c>
      <c r="N74">
        <v>98.5049929492882</v>
      </c>
      <c r="P74" s="3">
        <v>73</v>
      </c>
      <c r="Q74" s="4">
        <v>24.1748542122444</v>
      </c>
      <c r="R74">
        <v>4639.67742951406</v>
      </c>
    </row>
    <row r="75" ht="16.5" spans="5:18">
      <c r="E75" s="3">
        <v>109</v>
      </c>
      <c r="F75" s="4">
        <v>11858.0755604468</v>
      </c>
      <c r="G75">
        <v>108.815178696979</v>
      </c>
      <c r="L75">
        <v>110</v>
      </c>
      <c r="M75">
        <v>11452.1831979758</v>
      </c>
      <c r="N75">
        <v>101.828338137463</v>
      </c>
      <c r="P75" s="3">
        <v>74</v>
      </c>
      <c r="Q75" s="4">
        <v>25.3326990358398</v>
      </c>
      <c r="R75">
        <v>4737.52675739415</v>
      </c>
    </row>
    <row r="76" ht="16.5" spans="5:18">
      <c r="E76" s="3">
        <v>110</v>
      </c>
      <c r="F76" s="4">
        <v>11961.7768157855</v>
      </c>
      <c r="G76">
        <v>110.635546507733</v>
      </c>
      <c r="L76">
        <v>111</v>
      </c>
      <c r="M76">
        <v>11653.3623342655</v>
      </c>
      <c r="N76">
        <v>105.263805796885</v>
      </c>
      <c r="P76" s="3">
        <v>75</v>
      </c>
      <c r="Q76" s="4">
        <v>26.545998366989</v>
      </c>
      <c r="R76">
        <v>4837.43969661622</v>
      </c>
    </row>
    <row r="77" ht="16.5" spans="5:18">
      <c r="E77" s="3">
        <v>111</v>
      </c>
      <c r="F77" s="4">
        <v>12066.3849594555</v>
      </c>
      <c r="G77">
        <v>112.486367229616</v>
      </c>
      <c r="L77">
        <v>112</v>
      </c>
      <c r="M77">
        <v>11858.0755604468</v>
      </c>
      <c r="N77">
        <v>108.815178696979</v>
      </c>
      <c r="P77" s="3">
        <v>76</v>
      </c>
      <c r="Q77" s="4">
        <v>27.817408176808</v>
      </c>
      <c r="R77">
        <v>4939.45976809002</v>
      </c>
    </row>
    <row r="78" ht="16.5" spans="5:18">
      <c r="E78" s="3">
        <v>112</v>
      </c>
      <c r="F78" s="4">
        <v>12171.9079223778</v>
      </c>
      <c r="G78">
        <v>114.368150309012</v>
      </c>
      <c r="L78">
        <v>113</v>
      </c>
      <c r="M78">
        <v>12066.3849594555</v>
      </c>
      <c r="N78">
        <v>112.486367229616</v>
      </c>
      <c r="P78" s="3">
        <v>77</v>
      </c>
      <c r="Q78" s="4">
        <v>29.1497116430702</v>
      </c>
      <c r="R78">
        <v>5043.63141056755</v>
      </c>
    </row>
    <row r="79" ht="16.5" spans="5:18">
      <c r="E79" s="3">
        <v>113</v>
      </c>
      <c r="F79" s="4">
        <v>12278.3537048307</v>
      </c>
      <c r="G79">
        <v>116.281413714826</v>
      </c>
      <c r="L79">
        <v>114</v>
      </c>
      <c r="M79">
        <v>12278.3537048307</v>
      </c>
      <c r="N79">
        <v>116.281413714826</v>
      </c>
      <c r="P79" s="3">
        <v>78</v>
      </c>
      <c r="Q79" s="4">
        <v>30.5458252427184</v>
      </c>
      <c r="R79">
        <v>5150</v>
      </c>
    </row>
    <row r="80" ht="16.5" spans="5:18">
      <c r="E80" s="3">
        <v>114</v>
      </c>
      <c r="F80" s="4">
        <v>12385.7303770564</v>
      </c>
      <c r="G80">
        <v>118.226684081057</v>
      </c>
      <c r="L80">
        <v>115</v>
      </c>
      <c r="M80">
        <v>12494.0460798734</v>
      </c>
      <c r="N80">
        <v>120.204496851761</v>
      </c>
      <c r="P80" s="3">
        <v>79</v>
      </c>
      <c r="Q80" s="4">
        <v>31.2120965499226</v>
      </c>
      <c r="R80">
        <v>5340.98213542433</v>
      </c>
    </row>
    <row r="81" ht="16.5" spans="5:18">
      <c r="E81" s="3">
        <v>115</v>
      </c>
      <c r="F81" s="4">
        <v>12494.0460798734</v>
      </c>
      <c r="G81">
        <v>120.204496851761</v>
      </c>
      <c r="L81">
        <v>116</v>
      </c>
      <c r="M81">
        <v>12713.527497142</v>
      </c>
      <c r="N81">
        <v>124.259936319839</v>
      </c>
      <c r="P81" s="3">
        <v>80</v>
      </c>
      <c r="Q81" s="4">
        <v>31.8929006926706</v>
      </c>
      <c r="R81">
        <v>5539.04663513045</v>
      </c>
    </row>
    <row r="82" ht="16.5" spans="5:18">
      <c r="E82" s="3">
        <v>116</v>
      </c>
      <c r="F82" s="4">
        <v>12603.3090252929</v>
      </c>
      <c r="G82">
        <v>122.215396428429</v>
      </c>
      <c r="L82">
        <v>117</v>
      </c>
      <c r="M82">
        <v>12936.8645182894</v>
      </c>
      <c r="N82">
        <v>128.452197535105</v>
      </c>
      <c r="P82" s="3">
        <v>81</v>
      </c>
      <c r="Q82" s="4">
        <v>32.588554663915</v>
      </c>
      <c r="R82">
        <v>5744.4561408765</v>
      </c>
    </row>
    <row r="83" ht="16.5" spans="5:18">
      <c r="E83" s="3">
        <v>117</v>
      </c>
      <c r="F83" s="4">
        <v>12713.527497142</v>
      </c>
      <c r="G83">
        <v>124.259936319839</v>
      </c>
      <c r="L83">
        <v>118</v>
      </c>
      <c r="M83">
        <v>13140.321643619</v>
      </c>
      <c r="N83">
        <v>132.271989618425</v>
      </c>
      <c r="P83" s="3">
        <v>82</v>
      </c>
      <c r="Q83" s="4">
        <v>33.6921495451276</v>
      </c>
      <c r="R83">
        <v>5945.22192768893</v>
      </c>
    </row>
    <row r="84" ht="16.5" spans="5:18">
      <c r="E84" s="3">
        <v>118</v>
      </c>
      <c r="F84" s="4">
        <v>12824.7098516915</v>
      </c>
      <c r="G84">
        <v>126.338679294409</v>
      </c>
      <c r="L84">
        <v>119</v>
      </c>
      <c r="M84">
        <v>13322.8446596732</v>
      </c>
      <c r="N84">
        <v>135.678230156471</v>
      </c>
      <c r="P84" s="3">
        <v>83</v>
      </c>
      <c r="Q84" s="4">
        <v>35.2439747270706</v>
      </c>
      <c r="R84">
        <v>6140.34086612586</v>
      </c>
    </row>
    <row r="85" ht="16.5" spans="5:18">
      <c r="E85" s="3">
        <v>119</v>
      </c>
      <c r="F85" s="4">
        <v>12936.8645182894</v>
      </c>
      <c r="G85">
        <v>128.452197535105</v>
      </c>
      <c r="L85">
        <v>120</v>
      </c>
      <c r="M85">
        <v>13507.9029752653</v>
      </c>
      <c r="N85">
        <v>139.172187486534</v>
      </c>
      <c r="P85" s="3">
        <v>84</v>
      </c>
      <c r="Q85" s="4">
        <v>36.8672753544163</v>
      </c>
      <c r="R85">
        <v>6341.86350161563</v>
      </c>
    </row>
    <row r="86" ht="16.5" spans="5:18">
      <c r="E86" s="3">
        <v>120</v>
      </c>
      <c r="F86" s="4">
        <v>13050</v>
      </c>
      <c r="G86">
        <v>130.601072796935</v>
      </c>
      <c r="L86">
        <v>121</v>
      </c>
      <c r="M86">
        <v>13695.5318064675</v>
      </c>
      <c r="N86">
        <v>142.756120473047</v>
      </c>
      <c r="P86" s="3">
        <v>85</v>
      </c>
      <c r="Q86" s="4">
        <v>38.5653435114504</v>
      </c>
      <c r="R86">
        <v>6550</v>
      </c>
    </row>
    <row r="87" ht="16.5" spans="5:18">
      <c r="E87" s="3">
        <v>121</v>
      </c>
      <c r="F87" s="4">
        <v>13140.321643619</v>
      </c>
      <c r="G87">
        <v>132.271989618425</v>
      </c>
      <c r="L87">
        <v>122</v>
      </c>
      <c r="M87">
        <v>13885.7668585141</v>
      </c>
      <c r="N87">
        <v>146.432346150246</v>
      </c>
      <c r="P87" s="3">
        <v>86</v>
      </c>
      <c r="Q87" s="4">
        <v>39.6993708280474</v>
      </c>
      <c r="R87">
        <v>6742.80125560663</v>
      </c>
    </row>
    <row r="88" ht="16.5" spans="5:18">
      <c r="E88" s="3">
        <v>122</v>
      </c>
      <c r="F88" s="4">
        <v>13231.2684212844</v>
      </c>
      <c r="G88">
        <v>133.9642842354</v>
      </c>
      <c r="L88">
        <v>123</v>
      </c>
      <c r="M88">
        <v>14078.6443325958</v>
      </c>
      <c r="N88">
        <v>150.203241220148</v>
      </c>
      <c r="P88" s="3">
        <v>87</v>
      </c>
      <c r="Q88" s="4">
        <v>40.8667446116454</v>
      </c>
      <c r="R88">
        <v>6941.27767520769</v>
      </c>
    </row>
    <row r="89" ht="16.5" spans="5:18">
      <c r="E89" s="3">
        <v>123</v>
      </c>
      <c r="F89" s="4">
        <v>13322.8446596732</v>
      </c>
      <c r="G89">
        <v>135.678230156471</v>
      </c>
      <c r="L89">
        <v>124</v>
      </c>
      <c r="M89">
        <v>14274.2009327486</v>
      </c>
      <c r="N89">
        <v>154.071243589099</v>
      </c>
      <c r="P89" s="3">
        <v>88</v>
      </c>
      <c r="Q89" s="4">
        <v>42.0684454266851</v>
      </c>
      <c r="R89">
        <v>7145.59630899308</v>
      </c>
    </row>
    <row r="90" ht="16.5" spans="5:18">
      <c r="E90" s="3">
        <v>124</v>
      </c>
      <c r="F90" s="4">
        <v>13415.0547154083</v>
      </c>
      <c r="G90">
        <v>137.414104389533</v>
      </c>
      <c r="L90">
        <v>125</v>
      </c>
      <c r="M90">
        <v>14472.4738728387</v>
      </c>
      <c r="N90">
        <v>158.038853943901</v>
      </c>
      <c r="P90" s="3">
        <v>89</v>
      </c>
      <c r="Q90" s="4">
        <v>43.6391350510803</v>
      </c>
      <c r="R90">
        <v>7335.05364242499</v>
      </c>
    </row>
    <row r="91" ht="16.5" spans="5:18">
      <c r="E91" s="3">
        <v>125</v>
      </c>
      <c r="F91" s="4">
        <v>13507.9029752653</v>
      </c>
      <c r="G91">
        <v>139.172187486534</v>
      </c>
      <c r="L91">
        <v>126</v>
      </c>
      <c r="M91">
        <v>14673.500883644</v>
      </c>
      <c r="N91">
        <v>162.108637368517</v>
      </c>
      <c r="P91" s="3">
        <v>90</v>
      </c>
      <c r="Q91" s="4">
        <v>45.6172452158935</v>
      </c>
      <c r="R91">
        <v>7508.16606294936</v>
      </c>
    </row>
    <row r="92" ht="16.5" spans="5:18">
      <c r="E92" s="3">
        <v>126</v>
      </c>
      <c r="F92" s="4">
        <v>13601.3938563819</v>
      </c>
      <c r="G92">
        <v>140.952763588818</v>
      </c>
      <c r="L92">
        <v>127</v>
      </c>
      <c r="M92">
        <v>14877.3202200343</v>
      </c>
      <c r="N92">
        <v>166.283225002415</v>
      </c>
      <c r="P92" s="3">
        <v>91</v>
      </c>
      <c r="Q92" s="4">
        <v>47.685020765219</v>
      </c>
      <c r="R92">
        <v>7685.36405824943</v>
      </c>
    </row>
    <row r="93" ht="16.5" spans="5:18">
      <c r="E93" s="3">
        <v>127</v>
      </c>
      <c r="F93" s="4">
        <v>13695.5318064675</v>
      </c>
      <c r="G93">
        <v>142.756120473047</v>
      </c>
      <c r="L93">
        <v>128</v>
      </c>
      <c r="M93">
        <v>15083.970668251</v>
      </c>
      <c r="N93">
        <v>170.565315741612</v>
      </c>
      <c r="P93" s="3">
        <v>92</v>
      </c>
      <c r="Q93" s="4">
        <v>49.8465261244476</v>
      </c>
      <c r="R93">
        <v>7866.74405076094</v>
      </c>
    </row>
    <row r="94" ht="16.5" spans="5:18">
      <c r="E94" s="3">
        <v>128</v>
      </c>
      <c r="F94" s="4">
        <v>13790.3213040151</v>
      </c>
      <c r="G94">
        <v>144.582549597714</v>
      </c>
      <c r="L94">
        <v>129</v>
      </c>
      <c r="M94">
        <v>15293.4915532881</v>
      </c>
      <c r="N94">
        <v>174.957677983533</v>
      </c>
      <c r="P94" s="3">
        <v>93</v>
      </c>
      <c r="Q94" s="4">
        <v>52.1060099545461</v>
      </c>
      <c r="R94">
        <v>8052.40473855691</v>
      </c>
    </row>
    <row r="95" ht="16.5" spans="5:18">
      <c r="E95" s="3">
        <v>129</v>
      </c>
      <c r="F95" s="4">
        <v>13885.7668585141</v>
      </c>
      <c r="G95">
        <v>146.432346150246</v>
      </c>
      <c r="L95">
        <v>130</v>
      </c>
      <c r="M95">
        <v>15505.9227463755</v>
      </c>
      <c r="N95">
        <v>179.46315141679</v>
      </c>
      <c r="P95" s="3">
        <v>94</v>
      </c>
      <c r="Q95" s="4">
        <v>54.467913503237</v>
      </c>
      <c r="R95">
        <v>8242.44714905423</v>
      </c>
    </row>
    <row r="96" ht="16.5" spans="5:18">
      <c r="E96" s="3">
        <v>130</v>
      </c>
      <c r="F96" s="4">
        <v>13981.8730106652</v>
      </c>
      <c r="G96">
        <v>148.305809094714</v>
      </c>
      <c r="L96">
        <v>131</v>
      </c>
      <c r="M96">
        <v>15721.3046725666</v>
      </c>
      <c r="N96">
        <v>184.084648857063</v>
      </c>
      <c r="P96" s="3">
        <v>95</v>
      </c>
      <c r="Q96" s="4">
        <v>56.9368793347276</v>
      </c>
      <c r="R96">
        <v>8436.97469398781</v>
      </c>
    </row>
    <row r="97" ht="16.5" spans="5:18">
      <c r="E97" s="3">
        <v>131</v>
      </c>
      <c r="F97" s="4">
        <v>14078.6443325958</v>
      </c>
      <c r="G97">
        <v>150.203241220148</v>
      </c>
      <c r="L97">
        <v>132</v>
      </c>
      <c r="M97">
        <v>15939.6783184307</v>
      </c>
      <c r="N97">
        <v>188.825158130249</v>
      </c>
      <c r="P97" s="3">
        <v>96</v>
      </c>
      <c r="Q97" s="4">
        <v>59.5177604551472</v>
      </c>
      <c r="R97">
        <v>8636.09322568218</v>
      </c>
    </row>
    <row r="98" ht="16.5" spans="5:18">
      <c r="E98" s="3">
        <v>132</v>
      </c>
      <c r="F98" s="4">
        <v>14176.0854280784</v>
      </c>
      <c r="G98">
        <v>152.124949189479</v>
      </c>
      <c r="L98">
        <v>133</v>
      </c>
      <c r="M98">
        <v>16139.5350833217</v>
      </c>
      <c r="N98">
        <v>192.340799844956</v>
      </c>
      <c r="P98" s="3">
        <v>97</v>
      </c>
      <c r="Q98" s="4">
        <v>62.215629851629</v>
      </c>
      <c r="R98">
        <v>8839.91109465113</v>
      </c>
    </row>
    <row r="99" ht="16.5" spans="5:18">
      <c r="E99" s="3">
        <v>133</v>
      </c>
      <c r="F99" s="4">
        <v>14274.2009327486</v>
      </c>
      <c r="G99">
        <v>154.071243589099</v>
      </c>
      <c r="L99">
        <v>134</v>
      </c>
      <c r="M99">
        <v>16411.1483281491</v>
      </c>
      <c r="N99">
        <v>195.678303400358</v>
      </c>
      <c r="P99" s="3">
        <v>98</v>
      </c>
      <c r="Q99" s="4">
        <v>65.0357904637885</v>
      </c>
      <c r="R99">
        <v>9048.53920855671</v>
      </c>
    </row>
    <row r="100" ht="16.5" spans="5:18">
      <c r="E100" s="3">
        <v>134</v>
      </c>
      <c r="F100" s="4">
        <v>14372.9955143267</v>
      </c>
      <c r="G100">
        <v>156.042438979057</v>
      </c>
      <c r="L100">
        <v>135</v>
      </c>
      <c r="M100">
        <v>16687.3325692526</v>
      </c>
      <c r="N100">
        <v>199.073719421503</v>
      </c>
      <c r="P100" s="3">
        <v>99</v>
      </c>
      <c r="Q100" s="4">
        <v>67.9837856071959</v>
      </c>
      <c r="R100">
        <v>9262.09109255972</v>
      </c>
    </row>
    <row r="101" ht="16.5" spans="5:18">
      <c r="E101" s="3">
        <v>135</v>
      </c>
      <c r="F101" s="4">
        <v>14472.4738728387</v>
      </c>
      <c r="G101">
        <v>158.038853943901</v>
      </c>
      <c r="L101">
        <v>136</v>
      </c>
      <c r="M101">
        <v>17062.8218065519</v>
      </c>
      <c r="N101">
        <v>203.692766208896</v>
      </c>
      <c r="P101" s="3">
        <v>100</v>
      </c>
      <c r="Q101" s="4">
        <v>71.0654098693328</v>
      </c>
      <c r="R101">
        <v>9480.68295109454</v>
      </c>
    </row>
    <row r="102" ht="16.5" spans="5:18">
      <c r="E102" s="3">
        <v>136</v>
      </c>
      <c r="F102" s="4">
        <v>14572.6407408408</v>
      </c>
      <c r="G102">
        <v>160.060811144165</v>
      </c>
      <c r="L102">
        <v>137</v>
      </c>
      <c r="M102">
        <v>17349.9731013607</v>
      </c>
      <c r="N102">
        <v>207.227249438558</v>
      </c>
      <c r="P102" s="3">
        <v>101</v>
      </c>
      <c r="Q102" s="4">
        <v>74.2867204994496</v>
      </c>
      <c r="R102">
        <v>9704.43373110186</v>
      </c>
    </row>
    <row r="103" ht="16.5" spans="5:18">
      <c r="E103" s="3">
        <v>137</v>
      </c>
      <c r="F103" s="4">
        <v>14673.500883644</v>
      </c>
      <c r="G103">
        <v>162.108637368517</v>
      </c>
      <c r="L103">
        <v>138</v>
      </c>
      <c r="M103">
        <v>17641.9568832602</v>
      </c>
      <c r="N103">
        <v>210.823063131413</v>
      </c>
      <c r="P103" s="3">
        <v>102</v>
      </c>
      <c r="Q103" s="4">
        <v>77.6540493147114</v>
      </c>
      <c r="R103">
        <v>9933.46518675378</v>
      </c>
    </row>
    <row r="104" ht="16.5" spans="5:18">
      <c r="E104" s="3">
        <v>138</v>
      </c>
      <c r="F104" s="4">
        <v>14775.059099541</v>
      </c>
      <c r="G104">
        <v>164.18266358658</v>
      </c>
      <c r="L104">
        <v>139</v>
      </c>
      <c r="M104">
        <v>17938.8544784777</v>
      </c>
      <c r="N104">
        <v>214.481271495571</v>
      </c>
      <c r="P104" s="3">
        <v>103</v>
      </c>
      <c r="Q104" s="4">
        <v>80.7227174529548</v>
      </c>
      <c r="R104">
        <v>10137.8892709732</v>
      </c>
    </row>
    <row r="105" ht="16.5" spans="5:18">
      <c r="E105" s="3">
        <v>139</v>
      </c>
      <c r="F105" s="4">
        <v>14877.3202200343</v>
      </c>
      <c r="G105">
        <v>166.283225002415</v>
      </c>
      <c r="L105">
        <v>140</v>
      </c>
      <c r="M105">
        <v>18240.7485818847</v>
      </c>
      <c r="N105">
        <v>218.202957205313</v>
      </c>
      <c r="P105" s="3">
        <v>104</v>
      </c>
      <c r="Q105" s="4">
        <v>83.4461271664274</v>
      </c>
      <c r="R105">
        <v>10315.9803626085</v>
      </c>
    </row>
    <row r="106" ht="16.5" spans="5:18">
      <c r="E106" s="3">
        <v>140</v>
      </c>
      <c r="F106" s="4">
        <v>14980.2891100665</v>
      </c>
      <c r="G106">
        <v>168.410661108703</v>
      </c>
      <c r="L106">
        <v>141</v>
      </c>
      <c r="M106">
        <v>18547.7232800298</v>
      </c>
      <c r="N106">
        <v>221.98922172152</v>
      </c>
      <c r="P106" s="3">
        <v>105</v>
      </c>
      <c r="Q106" s="4">
        <v>86.2614188271569</v>
      </c>
      <c r="R106">
        <v>10497.1999592088</v>
      </c>
    </row>
    <row r="107" ht="16.5" spans="5:18">
      <c r="E107" s="3">
        <v>141</v>
      </c>
      <c r="F107" s="4">
        <v>15083.970668251</v>
      </c>
      <c r="G107">
        <v>170.565315741612</v>
      </c>
      <c r="L107">
        <v>142</v>
      </c>
      <c r="M107">
        <v>18859.8640745596</v>
      </c>
      <c r="N107">
        <v>225.841185617654</v>
      </c>
      <c r="P107" s="3">
        <v>106</v>
      </c>
      <c r="Q107" s="4">
        <v>89.1716923331092</v>
      </c>
      <c r="R107">
        <v>10681.6030188478</v>
      </c>
    </row>
    <row r="108" ht="16.5" spans="5:18">
      <c r="E108" s="3">
        <v>142</v>
      </c>
      <c r="F108" s="4">
        <v>15188.369827106</v>
      </c>
      <c r="G108">
        <v>172.747537136367</v>
      </c>
      <c r="L108">
        <v>143</v>
      </c>
      <c r="M108">
        <v>19177.2579060329</v>
      </c>
      <c r="N108">
        <v>229.759988911404</v>
      </c>
      <c r="P108" s="3">
        <v>107</v>
      </c>
      <c r="Q108" s="4">
        <v>92.1801521660964</v>
      </c>
      <c r="R108">
        <v>10869.245465041</v>
      </c>
    </row>
    <row r="109" ht="16.5" spans="5:18">
      <c r="E109" s="3">
        <v>143</v>
      </c>
      <c r="F109" s="4">
        <v>15293.4915532881</v>
      </c>
      <c r="G109">
        <v>174.957677983533</v>
      </c>
      <c r="L109">
        <v>144</v>
      </c>
      <c r="M109">
        <v>19499.993178137</v>
      </c>
      <c r="N109">
        <v>233.746791402081</v>
      </c>
      <c r="P109" s="3">
        <v>108</v>
      </c>
      <c r="Q109" s="4">
        <v>95.2901109202085</v>
      </c>
      <c r="R109">
        <v>11060.1842037055</v>
      </c>
    </row>
    <row r="110" ht="16.5" spans="5:18">
      <c r="E110" s="3">
        <v>144</v>
      </c>
      <c r="F110" s="4">
        <v>15399.3408478296</v>
      </c>
      <c r="G110">
        <v>177.196095486014</v>
      </c>
      <c r="L110">
        <v>145</v>
      </c>
      <c r="M110">
        <v>19828.15978231</v>
      </c>
      <c r="N110">
        <v>237.802773013871</v>
      </c>
      <c r="P110" s="3">
        <v>109</v>
      </c>
      <c r="Q110" s="4">
        <v>98.5049929492882</v>
      </c>
      <c r="R110">
        <v>11254.4771404181</v>
      </c>
    </row>
    <row r="111" ht="16.5" spans="5:18">
      <c r="E111" s="3">
        <v>145</v>
      </c>
      <c r="F111" s="4">
        <v>15505.9227463755</v>
      </c>
      <c r="G111">
        <v>179.46315141679</v>
      </c>
      <c r="L111">
        <v>146</v>
      </c>
      <c r="M111">
        <v>20137.6721526711</v>
      </c>
      <c r="N111">
        <v>241.869956181302</v>
      </c>
      <c r="P111" s="3">
        <v>110</v>
      </c>
      <c r="Q111" s="4">
        <v>101.828338137463</v>
      </c>
      <c r="R111">
        <v>11452.1831979758</v>
      </c>
    </row>
    <row r="112" ht="16.5" spans="5:18">
      <c r="E112" s="3">
        <v>146</v>
      </c>
      <c r="F112" s="4">
        <v>15613.2423194239</v>
      </c>
      <c r="G112">
        <v>181.75921217738</v>
      </c>
      <c r="L112">
        <v>147</v>
      </c>
      <c r="M112">
        <v>20402.9954947614</v>
      </c>
      <c r="N112">
        <v>245.886365082081</v>
      </c>
      <c r="P112" s="3">
        <v>111</v>
      </c>
      <c r="Q112" s="4">
        <v>105.263805796885</v>
      </c>
      <c r="R112">
        <v>11653.3623342655</v>
      </c>
    </row>
    <row r="113" ht="16.5" spans="5:18">
      <c r="E113" s="3">
        <v>147</v>
      </c>
      <c r="F113" s="4">
        <v>15721.3046725666</v>
      </c>
      <c r="G113">
        <v>184.084648857063</v>
      </c>
      <c r="L113">
        <v>148</v>
      </c>
      <c r="M113">
        <v>20671.814597202</v>
      </c>
      <c r="N113">
        <v>249.969469080974</v>
      </c>
      <c r="P113" s="3">
        <v>112</v>
      </c>
      <c r="Q113" s="4">
        <v>108.815178696979</v>
      </c>
      <c r="R113">
        <v>11858.0755604468</v>
      </c>
    </row>
    <row r="114" ht="16.5" spans="5:18">
      <c r="E114" s="3">
        <v>148</v>
      </c>
      <c r="F114" s="4">
        <v>15830.1149467322</v>
      </c>
      <c r="G114">
        <v>186.439837292855</v>
      </c>
      <c r="L114">
        <v>149</v>
      </c>
      <c r="M114">
        <v>20944.1755182867</v>
      </c>
      <c r="N114">
        <v>254.120375693729</v>
      </c>
      <c r="P114" s="3">
        <v>113</v>
      </c>
      <c r="Q114" s="4">
        <v>112.486367229616</v>
      </c>
      <c r="R114">
        <v>12066.3849594555</v>
      </c>
    </row>
    <row r="115" ht="16.5" spans="5:18">
      <c r="E115" s="3">
        <v>149</v>
      </c>
      <c r="F115" s="4">
        <v>15939.6783184307</v>
      </c>
      <c r="G115">
        <v>188.825158130249</v>
      </c>
      <c r="L115">
        <v>150</v>
      </c>
      <c r="M115">
        <v>21220.1249231488</v>
      </c>
      <c r="N115">
        <v>258.34021082712</v>
      </c>
      <c r="P115" s="3">
        <v>114</v>
      </c>
      <c r="Q115" s="4">
        <v>116.281413714826</v>
      </c>
      <c r="R115">
        <v>12278.3537048307</v>
      </c>
    </row>
    <row r="116" ht="16.5" spans="5:18">
      <c r="E116" s="3">
        <v>150</v>
      </c>
      <c r="F116" s="4">
        <v>16050</v>
      </c>
      <c r="G116">
        <v>191.240996884736</v>
      </c>
      <c r="L116">
        <v>151</v>
      </c>
      <c r="M116">
        <v>21499.7100917572</v>
      </c>
      <c r="N116">
        <v>262.630119084338</v>
      </c>
      <c r="P116" s="3">
        <v>115</v>
      </c>
      <c r="Q116" s="4">
        <v>120.204496851761</v>
      </c>
      <c r="R116">
        <v>12494.0460798734</v>
      </c>
    </row>
    <row r="117" ht="16.5" spans="5:18">
      <c r="E117" s="3">
        <v>151</v>
      </c>
      <c r="F117" s="4">
        <v>16139.5350833217</v>
      </c>
      <c r="G117">
        <v>192.340799844956</v>
      </c>
      <c r="L117">
        <v>152</v>
      </c>
      <c r="M117">
        <v>21782.9789270164</v>
      </c>
      <c r="N117">
        <v>266.991264075461</v>
      </c>
      <c r="P117" s="3">
        <v>116</v>
      </c>
      <c r="Q117" s="4">
        <v>124.259936319839</v>
      </c>
      <c r="R117">
        <v>12713.527497142</v>
      </c>
    </row>
    <row r="118" ht="16.5" spans="5:18">
      <c r="E118" s="3">
        <v>152</v>
      </c>
      <c r="F118" s="4">
        <v>16229.569638989</v>
      </c>
      <c r="G118">
        <v>193.446927633907</v>
      </c>
      <c r="L118">
        <v>153</v>
      </c>
      <c r="M118">
        <v>22069.9799629744</v>
      </c>
      <c r="N118">
        <v>271.42482873307</v>
      </c>
      <c r="P118" s="3">
        <v>117</v>
      </c>
      <c r="Q118" s="4">
        <v>128.452197535105</v>
      </c>
      <c r="R118">
        <v>12936.8645182894</v>
      </c>
    </row>
    <row r="119" ht="16.5" spans="5:18">
      <c r="E119" s="3">
        <v>153</v>
      </c>
      <c r="F119" s="4">
        <v>16320.1064533131</v>
      </c>
      <c r="G119">
        <v>194.559416624883</v>
      </c>
      <c r="L119">
        <v>154</v>
      </c>
      <c r="M119">
        <v>22360.7623731383</v>
      </c>
      <c r="N119">
        <v>275.93201563312</v>
      </c>
      <c r="P119" s="3">
        <v>118</v>
      </c>
      <c r="Q119" s="4">
        <v>132.271989618425</v>
      </c>
      <c r="R119">
        <v>13140.321643619</v>
      </c>
    </row>
    <row r="120" ht="16.5" spans="5:18">
      <c r="E120" s="3">
        <v>154</v>
      </c>
      <c r="F120" s="4">
        <v>16411.1483281491</v>
      </c>
      <c r="G120">
        <v>195.678303400358</v>
      </c>
      <c r="L120">
        <v>155</v>
      </c>
      <c r="M120">
        <v>22655.3759788992</v>
      </c>
      <c r="N120">
        <v>280.514047321123</v>
      </c>
      <c r="P120" s="3">
        <v>119</v>
      </c>
      <c r="Q120" s="4">
        <v>135.678230156471</v>
      </c>
      <c r="R120">
        <v>13322.8446596732</v>
      </c>
    </row>
    <row r="121" ht="16.5" spans="5:18">
      <c r="E121" s="3">
        <v>155</v>
      </c>
      <c r="F121" s="4">
        <v>16502.6980809819</v>
      </c>
      <c r="G121">
        <v>196.803624753187</v>
      </c>
      <c r="L121">
        <v>156</v>
      </c>
      <c r="M121">
        <v>22953.8712580687</v>
      </c>
      <c r="N121">
        <v>285.172166643763</v>
      </c>
      <c r="P121" s="3">
        <v>120</v>
      </c>
      <c r="Q121" s="4">
        <v>139.172187486534</v>
      </c>
      <c r="R121">
        <v>13507.9029752653</v>
      </c>
    </row>
    <row r="122" ht="16.5" spans="5:18">
      <c r="E122" s="3">
        <v>156</v>
      </c>
      <c r="F122" s="4">
        <v>16594.7585450139</v>
      </c>
      <c r="G122">
        <v>197.935417687818</v>
      </c>
      <c r="L122">
        <v>157</v>
      </c>
      <c r="M122">
        <v>23256.2993535273</v>
      </c>
      <c r="N122">
        <v>289.907637086003</v>
      </c>
      <c r="P122" s="3">
        <v>121</v>
      </c>
      <c r="Q122" s="4">
        <v>142.756120473047</v>
      </c>
      <c r="R122">
        <v>13695.5318064675</v>
      </c>
    </row>
    <row r="123" ht="16.5" spans="5:18">
      <c r="E123" s="3">
        <v>157</v>
      </c>
      <c r="F123" s="4">
        <v>16687.3325692526</v>
      </c>
      <c r="G123">
        <v>199.073719421503</v>
      </c>
      <c r="L123">
        <v>158</v>
      </c>
      <c r="M123">
        <v>23562.7120819872</v>
      </c>
      <c r="N123">
        <v>294.721743113803</v>
      </c>
      <c r="P123" s="3">
        <v>122</v>
      </c>
      <c r="Q123" s="4">
        <v>146.432346150246</v>
      </c>
      <c r="R123">
        <v>13885.7668585141</v>
      </c>
    </row>
    <row r="124" ht="16.5" spans="5:18">
      <c r="E124" s="3">
        <v>158</v>
      </c>
      <c r="F124" s="4">
        <v>16780.4230185988</v>
      </c>
      <c r="G124">
        <v>200.218567385531</v>
      </c>
      <c r="L124">
        <v>159</v>
      </c>
      <c r="M124">
        <v>23873.1619428703</v>
      </c>
      <c r="N124">
        <v>299.615790522519</v>
      </c>
      <c r="P124" s="3">
        <v>123</v>
      </c>
      <c r="Q124" s="4">
        <v>150.203241220148</v>
      </c>
      <c r="R124">
        <v>14078.6443325958</v>
      </c>
    </row>
    <row r="125" ht="16.5" spans="5:18">
      <c r="E125" s="3">
        <v>159</v>
      </c>
      <c r="F125" s="4">
        <v>16874.0327739349</v>
      </c>
      <c r="G125">
        <v>201.369999226448</v>
      </c>
      <c r="L125">
        <v>160</v>
      </c>
      <c r="M125">
        <v>24187.702127303</v>
      </c>
      <c r="N125">
        <v>304.591106791095</v>
      </c>
      <c r="P125" s="3">
        <v>124</v>
      </c>
      <c r="Q125" s="4">
        <v>154.071243589099</v>
      </c>
      <c r="R125">
        <v>14274.2009327486</v>
      </c>
    </row>
    <row r="126" ht="16.5" spans="5:18">
      <c r="E126" s="3">
        <v>160</v>
      </c>
      <c r="F126" s="4">
        <v>16968.1647322145</v>
      </c>
      <c r="G126">
        <v>202.528052807305</v>
      </c>
      <c r="L126">
        <v>161</v>
      </c>
      <c r="M126">
        <v>24506.3865272301</v>
      </c>
      <c r="N126">
        <v>309.649041442131</v>
      </c>
      <c r="P126" s="3">
        <v>125</v>
      </c>
      <c r="Q126" s="4">
        <v>158.038853943901</v>
      </c>
      <c r="R126">
        <v>14472.4738728387</v>
      </c>
    </row>
    <row r="127" ht="16.5" spans="5:18">
      <c r="E127" s="3">
        <v>161</v>
      </c>
      <c r="F127" s="4">
        <v>17062.8218065519</v>
      </c>
      <c r="G127">
        <v>203.692766208896</v>
      </c>
      <c r="L127">
        <v>162</v>
      </c>
      <c r="M127">
        <v>24829.2697446481</v>
      </c>
      <c r="N127">
        <v>314.790966407932</v>
      </c>
      <c r="P127" s="3">
        <v>126</v>
      </c>
      <c r="Q127" s="4">
        <v>162.108637368517</v>
      </c>
      <c r="R127">
        <v>14673.500883644</v>
      </c>
    </row>
    <row r="128" ht="16.5" spans="5:18">
      <c r="E128" s="3">
        <v>162</v>
      </c>
      <c r="F128" s="4">
        <v>17158.0069263123</v>
      </c>
      <c r="G128">
        <v>204.864177731015</v>
      </c>
      <c r="L128">
        <v>163</v>
      </c>
      <c r="M128">
        <v>25156.4071009606</v>
      </c>
      <c r="N128">
        <v>320.018276402638</v>
      </c>
      <c r="P128" s="3">
        <v>127</v>
      </c>
      <c r="Q128" s="4">
        <v>166.283225002415</v>
      </c>
      <c r="R128">
        <v>14877.3202200343</v>
      </c>
    </row>
    <row r="129" ht="16.5" spans="5:18">
      <c r="E129" s="3">
        <v>163</v>
      </c>
      <c r="F129" s="4">
        <v>17253.7230372021</v>
      </c>
      <c r="G129">
        <v>206.04232589371</v>
      </c>
      <c r="L129">
        <v>164</v>
      </c>
      <c r="M129">
        <v>25487.8546464569</v>
      </c>
      <c r="N129">
        <v>325.33238930053</v>
      </c>
      <c r="P129" s="3">
        <v>128</v>
      </c>
      <c r="Q129" s="4">
        <v>170.565315741612</v>
      </c>
      <c r="R129">
        <v>15083.970668251</v>
      </c>
    </row>
    <row r="130" ht="16.5" spans="5:18">
      <c r="E130" s="3">
        <v>164</v>
      </c>
      <c r="F130" s="4">
        <v>17349.9731013607</v>
      </c>
      <c r="G130">
        <v>207.227249438558</v>
      </c>
      <c r="L130">
        <v>165</v>
      </c>
      <c r="M130">
        <v>25823.6691699153</v>
      </c>
      <c r="N130">
        <v>330.734746520618</v>
      </c>
      <c r="P130" s="3">
        <v>129</v>
      </c>
      <c r="Q130" s="4">
        <v>174.957677983533</v>
      </c>
      <c r="R130">
        <v>15293.4915532881</v>
      </c>
    </row>
    <row r="131" ht="16.5" spans="5:18">
      <c r="E131" s="3">
        <v>165</v>
      </c>
      <c r="F131" s="4">
        <v>17446.7600974517</v>
      </c>
      <c r="G131">
        <v>208.418987329928</v>
      </c>
      <c r="L131">
        <v>166</v>
      </c>
      <c r="M131">
        <v>26140.149440788</v>
      </c>
      <c r="N131">
        <v>336.532413055385</v>
      </c>
      <c r="P131" s="3">
        <v>130</v>
      </c>
      <c r="Q131" s="4">
        <v>179.46315141679</v>
      </c>
      <c r="R131">
        <v>15505.9227463755</v>
      </c>
    </row>
    <row r="132" ht="16.5" spans="5:18">
      <c r="E132" s="3">
        <v>166</v>
      </c>
      <c r="F132" s="4">
        <v>17544.0870207551</v>
      </c>
      <c r="G132">
        <v>209.617578756274</v>
      </c>
      <c r="L132">
        <v>167</v>
      </c>
      <c r="M132">
        <v>26412.4739291591</v>
      </c>
      <c r="N132">
        <v>343.05447223366</v>
      </c>
      <c r="P132" s="3">
        <v>131</v>
      </c>
      <c r="Q132" s="4">
        <v>184.084648857063</v>
      </c>
      <c r="R132">
        <v>15721.3046725666</v>
      </c>
    </row>
    <row r="133" ht="16.5" spans="5:18">
      <c r="E133" s="3">
        <v>167</v>
      </c>
      <c r="F133" s="4">
        <v>17641.9568832602</v>
      </c>
      <c r="G133">
        <v>210.823063131413</v>
      </c>
      <c r="L133">
        <v>168</v>
      </c>
      <c r="M133">
        <v>26687.6354566656</v>
      </c>
      <c r="N133">
        <v>349.702930101257</v>
      </c>
      <c r="P133" s="3">
        <v>132</v>
      </c>
      <c r="Q133" s="4">
        <v>188.825158130249</v>
      </c>
      <c r="R133">
        <v>15939.6783184307</v>
      </c>
    </row>
    <row r="134" ht="16.5" spans="5:18">
      <c r="E134" s="3">
        <v>168</v>
      </c>
      <c r="F134" s="4">
        <v>17740.3727137587</v>
      </c>
      <c r="G134">
        <v>212.035480095829</v>
      </c>
      <c r="L134">
        <v>169</v>
      </c>
      <c r="M134">
        <v>27058.9817938611</v>
      </c>
      <c r="N134">
        <v>358.768401522617</v>
      </c>
      <c r="P134" s="3">
        <v>133</v>
      </c>
      <c r="Q134" s="4">
        <v>192.340799844956</v>
      </c>
      <c r="R134">
        <v>16139.5350833217</v>
      </c>
    </row>
    <row r="135" ht="16.5" spans="5:18">
      <c r="E135" s="3">
        <v>169</v>
      </c>
      <c r="F135" s="4">
        <v>17839.3375579385</v>
      </c>
      <c r="G135">
        <v>213.254869517972</v>
      </c>
      <c r="L135">
        <v>170</v>
      </c>
      <c r="M135">
        <v>27340.8785515498</v>
      </c>
      <c r="N135">
        <v>365.721398188767</v>
      </c>
      <c r="P135" s="3">
        <v>134</v>
      </c>
      <c r="Q135" s="4">
        <v>195.678303400358</v>
      </c>
      <c r="R135">
        <v>16411.1483281491</v>
      </c>
    </row>
    <row r="136" ht="16.5" spans="5:18">
      <c r="E136" s="3">
        <v>170</v>
      </c>
      <c r="F136" s="4">
        <v>17938.8544784777</v>
      </c>
      <c r="G136">
        <v>214.481271495571</v>
      </c>
      <c r="L136">
        <v>171</v>
      </c>
      <c r="M136">
        <v>27625.7120709616</v>
      </c>
      <c r="N136">
        <v>372.809145190883</v>
      </c>
      <c r="P136" s="3">
        <v>135</v>
      </c>
      <c r="Q136" s="4">
        <v>199.073719421503</v>
      </c>
      <c r="R136">
        <v>16687.3325692526</v>
      </c>
    </row>
    <row r="137" ht="16.5" spans="5:18">
      <c r="E137" s="3">
        <v>171</v>
      </c>
      <c r="F137" s="4">
        <v>18038.9265551398</v>
      </c>
      <c r="G137">
        <v>215.714726356952</v>
      </c>
      <c r="L137">
        <v>172</v>
      </c>
      <c r="M137">
        <v>27913.5129468767</v>
      </c>
      <c r="N137">
        <v>380.034254014908</v>
      </c>
      <c r="P137" s="3">
        <v>136</v>
      </c>
      <c r="Q137" s="4">
        <v>203.692766208896</v>
      </c>
      <c r="R137">
        <v>17062.8218065519</v>
      </c>
    </row>
    <row r="138" ht="16.5" spans="5:18">
      <c r="E138" s="3">
        <v>172</v>
      </c>
      <c r="F138" s="4">
        <v>18139.5568848688</v>
      </c>
      <c r="G138">
        <v>216.955274662364</v>
      </c>
      <c r="L138">
        <v>173</v>
      </c>
      <c r="M138">
        <v>28204.3120928081</v>
      </c>
      <c r="N138">
        <v>387.399386757853</v>
      </c>
      <c r="P138" s="3">
        <v>137</v>
      </c>
      <c r="Q138" s="4">
        <v>207.227249438558</v>
      </c>
      <c r="R138">
        <v>17349.9731013607</v>
      </c>
    </row>
    <row r="139" ht="16.5" spans="5:18">
      <c r="E139" s="3">
        <v>173</v>
      </c>
      <c r="F139" s="4">
        <v>18240.7485818847</v>
      </c>
      <c r="G139">
        <v>218.202957205313</v>
      </c>
      <c r="L139">
        <v>174</v>
      </c>
      <c r="M139">
        <v>28498.140744321</v>
      </c>
      <c r="N139">
        <v>394.907257108654</v>
      </c>
      <c r="P139" s="3">
        <v>138</v>
      </c>
      <c r="Q139" s="4">
        <v>210.823063131413</v>
      </c>
      <c r="R139">
        <v>17641.9568832602</v>
      </c>
    </row>
    <row r="140" ht="16.5" spans="5:18">
      <c r="E140" s="3">
        <v>174</v>
      </c>
      <c r="F140" s="4">
        <v>18342.5047777806</v>
      </c>
      <c r="G140">
        <v>219.457815013904</v>
      </c>
      <c r="L140">
        <v>175</v>
      </c>
      <c r="M140">
        <v>28795.0304623888</v>
      </c>
      <c r="N140">
        <v>402.560631348028</v>
      </c>
      <c r="P140" s="3">
        <v>139</v>
      </c>
      <c r="Q140" s="4">
        <v>214.481271495571</v>
      </c>
      <c r="R140">
        <v>17938.8544784777</v>
      </c>
    </row>
    <row r="141" ht="16.5" spans="5:18">
      <c r="E141" s="3">
        <v>175</v>
      </c>
      <c r="F141" s="4">
        <v>18444.8286216191</v>
      </c>
      <c r="G141">
        <v>220.719889352187</v>
      </c>
      <c r="L141">
        <v>176</v>
      </c>
      <c r="M141">
        <v>29095.0131367826</v>
      </c>
      <c r="N141">
        <v>410.362329367717</v>
      </c>
      <c r="P141" s="3">
        <v>140</v>
      </c>
      <c r="Q141" s="4">
        <v>218.202957205313</v>
      </c>
      <c r="R141">
        <v>18240.7485818847</v>
      </c>
    </row>
    <row r="142" ht="16.5" spans="5:18">
      <c r="E142" s="3">
        <v>176</v>
      </c>
      <c r="F142" s="4">
        <v>18547.7232800298</v>
      </c>
      <c r="G142">
        <v>221.98922172152</v>
      </c>
      <c r="L142">
        <v>177</v>
      </c>
      <c r="M142">
        <v>29398.1209894968</v>
      </c>
      <c r="N142">
        <v>418.315225709474</v>
      </c>
      <c r="P142" s="3">
        <v>141</v>
      </c>
      <c r="Q142" s="4">
        <v>221.98922172152</v>
      </c>
      <c r="R142">
        <v>18547.7232800298</v>
      </c>
    </row>
    <row r="143" ht="16.5" spans="5:18">
      <c r="E143" s="3">
        <v>177</v>
      </c>
      <c r="F143" s="4">
        <v>18651.1919373075</v>
      </c>
      <c r="G143">
        <v>223.265853861927</v>
      </c>
      <c r="L143">
        <v>178</v>
      </c>
      <c r="M143">
        <v>29704.3865782102</v>
      </c>
      <c r="N143">
        <v>426.422250624193</v>
      </c>
      <c r="P143" s="3">
        <v>142</v>
      </c>
      <c r="Q143" s="4">
        <v>225.841185617654</v>
      </c>
      <c r="R143">
        <v>18859.8640745596</v>
      </c>
    </row>
    <row r="144" ht="16.5" spans="5:18">
      <c r="E144" s="3">
        <v>178</v>
      </c>
      <c r="F144" s="4">
        <v>18755.2377955104</v>
      </c>
      <c r="G144">
        <v>224.549827753475</v>
      </c>
      <c r="L144">
        <v>179</v>
      </c>
      <c r="M144">
        <v>30013.8427997828</v>
      </c>
      <c r="N144">
        <v>434.68639115156</v>
      </c>
      <c r="P144" s="3">
        <v>143</v>
      </c>
      <c r="Q144" s="4">
        <v>229.759988911404</v>
      </c>
      <c r="R144">
        <v>19177.2579060329</v>
      </c>
    </row>
    <row r="145" ht="16.5" spans="5:18">
      <c r="E145" s="3">
        <v>179</v>
      </c>
      <c r="F145" s="4">
        <v>18859.8640745596</v>
      </c>
      <c r="G145">
        <v>225.841185617654</v>
      </c>
      <c r="L145">
        <v>180</v>
      </c>
      <c r="M145">
        <v>30326.5228937898</v>
      </c>
      <c r="N145">
        <v>443.110692220636</v>
      </c>
      <c r="P145" s="3">
        <v>144</v>
      </c>
      <c r="Q145" s="4">
        <v>233.746791402081</v>
      </c>
      <c r="R145">
        <v>19499.993178137</v>
      </c>
    </row>
    <row r="146" ht="16.5" spans="5:18">
      <c r="E146" s="3">
        <v>180</v>
      </c>
      <c r="F146" s="4">
        <v>18965.0740123385</v>
      </c>
      <c r="G146">
        <v>227.139969918762</v>
      </c>
      <c r="L146">
        <v>181</v>
      </c>
      <c r="M146">
        <v>30642.4604460916</v>
      </c>
      <c r="N146">
        <v>451.698257771754</v>
      </c>
      <c r="P146" s="3">
        <v>145</v>
      </c>
      <c r="Q146" s="4">
        <v>237.802773013871</v>
      </c>
      <c r="R146">
        <v>19828.15978231</v>
      </c>
    </row>
    <row r="147" ht="16.5" spans="5:18">
      <c r="E147" s="3">
        <v>181</v>
      </c>
      <c r="F147" s="4">
        <v>19070.8708647932</v>
      </c>
      <c r="G147">
        <v>228.446223365306</v>
      </c>
      <c r="L147">
        <v>182</v>
      </c>
      <c r="M147">
        <v>30961.6893924416</v>
      </c>
      <c r="N147">
        <v>460.452251900177</v>
      </c>
      <c r="P147" s="3">
        <v>146</v>
      </c>
      <c r="Q147" s="4">
        <v>241.869956181302</v>
      </c>
      <c r="R147">
        <v>20137.6721526711</v>
      </c>
    </row>
    <row r="148" ht="16.5" spans="5:18">
      <c r="E148" s="3">
        <v>182</v>
      </c>
      <c r="F148" s="4">
        <v>19177.2579060329</v>
      </c>
      <c r="G148">
        <v>229.759988911404</v>
      </c>
      <c r="L148">
        <v>183</v>
      </c>
      <c r="M148">
        <v>31284.2440221311</v>
      </c>
      <c r="N148">
        <v>469.375900021906</v>
      </c>
      <c r="P148" s="3">
        <v>147</v>
      </c>
      <c r="Q148" s="4">
        <v>245.886365082081</v>
      </c>
      <c r="R148">
        <v>20402.9954947614</v>
      </c>
    </row>
    <row r="149" ht="16.5" spans="5:18">
      <c r="E149" s="3">
        <v>183</v>
      </c>
      <c r="F149" s="4">
        <v>19284.2384284316</v>
      </c>
      <c r="G149">
        <v>231.081309758196</v>
      </c>
      <c r="L149">
        <v>184</v>
      </c>
      <c r="M149">
        <v>31610.1589816727</v>
      </c>
      <c r="N149">
        <v>478.472490062089</v>
      </c>
      <c r="P149" s="3">
        <v>148</v>
      </c>
      <c r="Q149" s="4">
        <v>249.969469080974</v>
      </c>
      <c r="R149">
        <v>20671.814597202</v>
      </c>
    </row>
    <row r="150" ht="16.5" spans="5:18">
      <c r="E150" s="3">
        <v>184</v>
      </c>
      <c r="F150" s="4">
        <v>19391.8157427298</v>
      </c>
      <c r="G150">
        <v>232.410229355269</v>
      </c>
      <c r="L150">
        <v>185</v>
      </c>
      <c r="M150">
        <v>31939.4692785213</v>
      </c>
      <c r="N150">
        <v>487.745373666462</v>
      </c>
      <c r="P150" s="3">
        <v>149</v>
      </c>
      <c r="Q150" s="4">
        <v>254.120375693729</v>
      </c>
      <c r="R150">
        <v>20944.1755182867</v>
      </c>
    </row>
    <row r="151" ht="16.5" spans="5:18">
      <c r="E151" s="3">
        <v>185</v>
      </c>
      <c r="F151" s="4">
        <v>19499.993178137</v>
      </c>
      <c r="G151">
        <v>233.746791402081</v>
      </c>
      <c r="L151">
        <v>186</v>
      </c>
      <c r="M151">
        <v>32233.8555048921</v>
      </c>
      <c r="N151">
        <v>497.789588346444</v>
      </c>
      <c r="P151" s="3">
        <v>150</v>
      </c>
      <c r="Q151" s="4">
        <v>258.34021082712</v>
      </c>
      <c r="R151">
        <v>21220.1249231488</v>
      </c>
    </row>
    <row r="152" ht="16.5" spans="5:18">
      <c r="E152" s="3">
        <v>186</v>
      </c>
      <c r="F152" s="4">
        <v>19608.7740824346</v>
      </c>
      <c r="G152">
        <v>235.091039849401</v>
      </c>
      <c r="L152">
        <v>187</v>
      </c>
      <c r="M152">
        <v>32511.6181972148</v>
      </c>
      <c r="N152">
        <v>508.342816566035</v>
      </c>
      <c r="P152" s="3">
        <v>151</v>
      </c>
      <c r="Q152" s="4">
        <v>262.630119084338</v>
      </c>
      <c r="R152">
        <v>21499.7100917572</v>
      </c>
    </row>
    <row r="153" ht="16.5" spans="5:18">
      <c r="E153" s="3">
        <v>187</v>
      </c>
      <c r="F153" s="4">
        <v>19718.16182208</v>
      </c>
      <c r="G153">
        <v>236.443018900754</v>
      </c>
      <c r="L153">
        <v>188</v>
      </c>
      <c r="M153">
        <v>32791.7744013293</v>
      </c>
      <c r="N153">
        <v>519.119775109567</v>
      </c>
      <c r="P153" s="3">
        <v>152</v>
      </c>
      <c r="Q153" s="4">
        <v>266.991264075461</v>
      </c>
      <c r="R153">
        <v>21782.9789270164</v>
      </c>
    </row>
    <row r="154" ht="16.5" spans="5:18">
      <c r="E154" s="3">
        <v>188</v>
      </c>
      <c r="F154" s="4">
        <v>19828.15978231</v>
      </c>
      <c r="G154">
        <v>237.802773013871</v>
      </c>
      <c r="L154">
        <v>189</v>
      </c>
      <c r="M154">
        <v>33074.3447423911</v>
      </c>
      <c r="N154">
        <v>530.125207099883</v>
      </c>
      <c r="P154" s="3">
        <v>153</v>
      </c>
      <c r="Q154" s="4">
        <v>271.42482873307</v>
      </c>
      <c r="R154">
        <v>22069.9799629744</v>
      </c>
    </row>
    <row r="155" ht="16.5" spans="5:18">
      <c r="E155" s="3">
        <v>189</v>
      </c>
      <c r="F155" s="4">
        <v>19938.7713672462</v>
      </c>
      <c r="G155">
        <v>239.170346902158</v>
      </c>
      <c r="L155">
        <v>190</v>
      </c>
      <c r="M155">
        <v>33359.3500232847</v>
      </c>
      <c r="N155">
        <v>541.36395621488</v>
      </c>
      <c r="P155" s="3">
        <v>154</v>
      </c>
      <c r="Q155" s="4">
        <v>275.93201563312</v>
      </c>
      <c r="R155">
        <v>22360.7623731383</v>
      </c>
    </row>
    <row r="156" ht="16.5" spans="5:18">
      <c r="E156" s="3">
        <v>190</v>
      </c>
      <c r="F156" s="4">
        <v>20050</v>
      </c>
      <c r="G156">
        <v>240.545785536159</v>
      </c>
      <c r="L156">
        <v>191</v>
      </c>
      <c r="M156">
        <v>33646.8112261556</v>
      </c>
      <c r="N156">
        <v>552.840968819291</v>
      </c>
      <c r="P156" s="3">
        <v>155</v>
      </c>
      <c r="Q156" s="4">
        <v>280.514047321123</v>
      </c>
      <c r="R156">
        <v>22655.3759788992</v>
      </c>
    </row>
    <row r="157" ht="16.5" spans="5:18">
      <c r="E157" s="3">
        <v>191</v>
      </c>
      <c r="F157" s="4">
        <v>20137.6721526711</v>
      </c>
      <c r="G157">
        <v>241.869956181302</v>
      </c>
      <c r="L157">
        <v>192</v>
      </c>
      <c r="M157">
        <v>33936.7495139547</v>
      </c>
      <c r="N157">
        <v>564.561296141665</v>
      </c>
      <c r="P157" s="3">
        <v>156</v>
      </c>
      <c r="Q157" s="4">
        <v>285.172166643763</v>
      </c>
      <c r="R157">
        <v>22953.8712580687</v>
      </c>
    </row>
    <row r="158" ht="16.5" spans="5:18">
      <c r="E158" s="3">
        <v>192</v>
      </c>
      <c r="F158" s="4">
        <v>20225.7276672551</v>
      </c>
      <c r="G158">
        <v>243.201416199207</v>
      </c>
      <c r="L158">
        <v>193</v>
      </c>
      <c r="M158">
        <v>34229.1862319963</v>
      </c>
      <c r="N158">
        <v>576.530096497499</v>
      </c>
      <c r="P158" s="3">
        <v>157</v>
      </c>
      <c r="Q158" s="4">
        <v>289.907637086003</v>
      </c>
      <c r="R158">
        <v>23256.2993535273</v>
      </c>
    </row>
    <row r="159" ht="16.5" spans="5:18">
      <c r="E159" s="3">
        <v>193</v>
      </c>
      <c r="F159" s="4">
        <v>20314.1682200694</v>
      </c>
      <c r="G159">
        <v>244.540205716846</v>
      </c>
      <c r="L159">
        <v>194</v>
      </c>
      <c r="M159">
        <v>34524.1429095297</v>
      </c>
      <c r="N159">
        <v>588.7526375595</v>
      </c>
      <c r="P159" s="3">
        <v>158</v>
      </c>
      <c r="Q159" s="4">
        <v>294.721743113803</v>
      </c>
      <c r="R159">
        <v>23562.7120819872</v>
      </c>
    </row>
    <row r="160" ht="16.5" spans="5:18">
      <c r="E160" s="3">
        <v>194</v>
      </c>
      <c r="F160" s="4">
        <v>20402.9954947614</v>
      </c>
      <c r="G160">
        <v>245.886365082081</v>
      </c>
      <c r="L160">
        <v>195</v>
      </c>
      <c r="M160">
        <v>34821.6412613241</v>
      </c>
      <c r="N160">
        <v>601.234298675979</v>
      </c>
      <c r="P160" s="3">
        <v>159</v>
      </c>
      <c r="Q160" s="4">
        <v>299.615790522519</v>
      </c>
      <c r="R160">
        <v>23873.1619428703</v>
      </c>
    </row>
    <row r="161" ht="16.5" spans="5:18">
      <c r="E161" s="3">
        <v>195</v>
      </c>
      <c r="F161" s="4">
        <v>20492.2111823407</v>
      </c>
      <c r="G161">
        <v>247.239934864884</v>
      </c>
      <c r="L161">
        <v>196</v>
      </c>
      <c r="M161">
        <v>35121.7031892673</v>
      </c>
      <c r="N161">
        <v>613.980573238391</v>
      </c>
      <c r="P161" s="3">
        <v>160</v>
      </c>
      <c r="Q161" s="4">
        <v>304.591106791095</v>
      </c>
      <c r="R161">
        <v>24187.702127303</v>
      </c>
    </row>
    <row r="162" ht="16.5" spans="5:18">
      <c r="E162" s="3">
        <v>196</v>
      </c>
      <c r="F162" s="4">
        <v>20581.8169812108</v>
      </c>
      <c r="G162">
        <v>248.60095585856</v>
      </c>
      <c r="L162">
        <v>197</v>
      </c>
      <c r="M162">
        <v>35424.3507839781</v>
      </c>
      <c r="N162">
        <v>626.997071099071</v>
      </c>
      <c r="P162" s="3">
        <v>161</v>
      </c>
      <c r="Q162" s="4">
        <v>309.649041442131</v>
      </c>
      <c r="R162">
        <v>24506.3865272301</v>
      </c>
    </row>
    <row r="163" ht="16.5" spans="5:18">
      <c r="E163" s="3">
        <v>197</v>
      </c>
      <c r="F163" s="4">
        <v>20671.814597202</v>
      </c>
      <c r="G163">
        <v>249.969469080974</v>
      </c>
      <c r="L163">
        <v>198</v>
      </c>
      <c r="M163">
        <v>35729.6063264325</v>
      </c>
      <c r="N163">
        <v>640.289521040227</v>
      </c>
      <c r="P163" s="3">
        <v>162</v>
      </c>
      <c r="Q163" s="4">
        <v>314.790966407932</v>
      </c>
      <c r="R163">
        <v>24829.2697446481</v>
      </c>
    </row>
    <row r="164" ht="16.5" spans="5:18">
      <c r="E164" s="3">
        <v>198</v>
      </c>
      <c r="F164" s="4">
        <v>20762.2057436037</v>
      </c>
      <c r="G164">
        <v>251.345515775789</v>
      </c>
      <c r="L164">
        <v>199</v>
      </c>
      <c r="M164">
        <v>36037.4922896041</v>
      </c>
      <c r="N164">
        <v>653.863773295274</v>
      </c>
      <c r="P164" s="3">
        <v>163</v>
      </c>
      <c r="Q164" s="4">
        <v>320.018276402638</v>
      </c>
      <c r="R164">
        <v>25156.4071009606</v>
      </c>
    </row>
    <row r="165" ht="16.5" spans="5:18">
      <c r="E165" s="3">
        <v>199</v>
      </c>
      <c r="F165" s="4">
        <v>20852.9921411968</v>
      </c>
      <c r="G165">
        <v>252.729137413709</v>
      </c>
      <c r="L165">
        <v>200</v>
      </c>
      <c r="M165">
        <v>36348.0313401189</v>
      </c>
      <c r="N165">
        <v>667.725802123619</v>
      </c>
      <c r="P165" s="3">
        <v>164</v>
      </c>
      <c r="Q165" s="4">
        <v>325.33238930053</v>
      </c>
      <c r="R165">
        <v>25487.8546464569</v>
      </c>
    </row>
    <row r="166" ht="16.5" spans="5:18">
      <c r="E166" s="3">
        <v>200</v>
      </c>
      <c r="F166" s="4">
        <v>20944.1755182867</v>
      </c>
      <c r="G166">
        <v>254.120375693729</v>
      </c>
      <c r="L166">
        <v>201</v>
      </c>
      <c r="M166">
        <v>36661.2463399234</v>
      </c>
      <c r="N166">
        <v>681.881708440037</v>
      </c>
      <c r="P166" s="3">
        <v>165</v>
      </c>
      <c r="Q166" s="4">
        <v>330.734746520618</v>
      </c>
      <c r="R166">
        <v>25823.6691699153</v>
      </c>
    </row>
    <row r="167" ht="16.5" spans="5:18">
      <c r="E167" s="3">
        <v>201</v>
      </c>
      <c r="F167" s="4">
        <v>21035.757610736</v>
      </c>
      <c r="G167">
        <v>255.519272544389</v>
      </c>
      <c r="L167">
        <v>202</v>
      </c>
      <c r="M167">
        <v>37083.0688110096</v>
      </c>
      <c r="N167">
        <v>701.224180267677</v>
      </c>
      <c r="P167" s="3">
        <v>166</v>
      </c>
      <c r="Q167" s="4">
        <v>336.532413055385</v>
      </c>
      <c r="R167">
        <v>26140.149440788</v>
      </c>
    </row>
    <row r="168" ht="16.5" spans="5:18">
      <c r="E168" s="3">
        <v>202</v>
      </c>
      <c r="F168" s="4">
        <v>21127.7401619978</v>
      </c>
      <c r="G168">
        <v>256.925870125042</v>
      </c>
      <c r="L168">
        <v>203</v>
      </c>
      <c r="M168">
        <v>37402.6177098675</v>
      </c>
      <c r="N168">
        <v>716.090258186346</v>
      </c>
      <c r="P168" s="3">
        <v>167</v>
      </c>
      <c r="Q168" s="4">
        <v>343.05447223366</v>
      </c>
      <c r="R168">
        <v>26412.4739291591</v>
      </c>
    </row>
    <row r="169" ht="16.5" spans="5:18">
      <c r="E169" s="3">
        <v>203</v>
      </c>
      <c r="F169" s="4">
        <v>21220.1249231488</v>
      </c>
      <c r="G169">
        <v>258.34021082712</v>
      </c>
      <c r="L169">
        <v>204</v>
      </c>
      <c r="M169">
        <v>37724.9201968732</v>
      </c>
      <c r="N169">
        <v>731.27149961321</v>
      </c>
      <c r="P169" s="3">
        <v>168</v>
      </c>
      <c r="Q169" s="4">
        <v>349.702930101257</v>
      </c>
      <c r="R169">
        <v>26687.6354566656</v>
      </c>
    </row>
    <row r="170" ht="16.5" spans="5:18">
      <c r="E170" s="3">
        <v>204</v>
      </c>
      <c r="F170" s="4">
        <v>21312.9136529225</v>
      </c>
      <c r="G170">
        <v>259.762337275416</v>
      </c>
      <c r="L170">
        <v>205</v>
      </c>
      <c r="M170">
        <v>38049.9999999999</v>
      </c>
      <c r="N170">
        <v>746.774586070957</v>
      </c>
      <c r="P170" s="3">
        <v>169</v>
      </c>
      <c r="Q170" s="4">
        <v>358.768401522617</v>
      </c>
      <c r="R170">
        <v>27058.9817938611</v>
      </c>
    </row>
    <row r="171" ht="16.5" spans="5:18">
      <c r="E171" s="3">
        <v>205</v>
      </c>
      <c r="F171" s="4">
        <v>21406.1081177426</v>
      </c>
      <c r="G171">
        <v>261.192292329365</v>
      </c>
      <c r="L171">
        <v>206</v>
      </c>
      <c r="M171">
        <v>38329.5944063115</v>
      </c>
      <c r="N171">
        <v>762.439390065181</v>
      </c>
      <c r="P171" s="3">
        <v>170</v>
      </c>
      <c r="Q171" s="4">
        <v>365.721398188767</v>
      </c>
      <c r="R171">
        <v>27340.8785515498</v>
      </c>
    </row>
    <row r="172" ht="16.5" spans="5:18">
      <c r="E172" s="3">
        <v>206</v>
      </c>
      <c r="F172" s="4">
        <v>21499.7100917572</v>
      </c>
      <c r="G172">
        <v>262.630119084338</v>
      </c>
      <c r="L172">
        <v>207</v>
      </c>
      <c r="M172">
        <v>38611.2432944112</v>
      </c>
      <c r="N172">
        <v>778.432788643036</v>
      </c>
      <c r="P172" s="3">
        <v>171</v>
      </c>
      <c r="Q172" s="4">
        <v>372.809145190883</v>
      </c>
      <c r="R172">
        <v>27625.7120709616</v>
      </c>
    </row>
    <row r="173" ht="16.5" spans="5:18">
      <c r="E173" s="3">
        <v>207</v>
      </c>
      <c r="F173" s="4">
        <v>21593.7213568718</v>
      </c>
      <c r="G173">
        <v>264.07586087294</v>
      </c>
      <c r="L173">
        <v>208</v>
      </c>
      <c r="M173">
        <v>38894.9617607937</v>
      </c>
      <c r="N173">
        <v>794.76167460704</v>
      </c>
      <c r="P173" s="3">
        <v>172</v>
      </c>
      <c r="Q173" s="4">
        <v>380.034254014908</v>
      </c>
      <c r="R173">
        <v>27913.5129468767</v>
      </c>
    </row>
    <row r="174" ht="16.5" spans="5:18">
      <c r="E174" s="3">
        <v>208</v>
      </c>
      <c r="F174" s="4">
        <v>21688.1437027839</v>
      </c>
      <c r="G174">
        <v>265.529561266315</v>
      </c>
      <c r="L174">
        <v>209</v>
      </c>
      <c r="M174">
        <v>39180.7650128835</v>
      </c>
      <c r="N174">
        <v>811.433085347384</v>
      </c>
      <c r="P174" s="3">
        <v>173</v>
      </c>
      <c r="Q174" s="4">
        <v>387.399386757853</v>
      </c>
      <c r="R174">
        <v>28204.3120928081</v>
      </c>
    </row>
    <row r="175" ht="16.5" spans="5:18">
      <c r="E175" s="3">
        <v>209</v>
      </c>
      <c r="F175" s="4">
        <v>21782.9789270164</v>
      </c>
      <c r="G175">
        <v>266.991264075461</v>
      </c>
      <c r="L175">
        <v>210</v>
      </c>
      <c r="M175">
        <v>39468.6683698509</v>
      </c>
      <c r="N175">
        <v>828.454205874891</v>
      </c>
      <c r="P175" s="3">
        <v>174</v>
      </c>
      <c r="Q175" s="4">
        <v>394.907257108654</v>
      </c>
      <c r="R175">
        <v>28498.140744321</v>
      </c>
    </row>
    <row r="176" ht="16.5" spans="5:18">
      <c r="E176" s="3">
        <v>210</v>
      </c>
      <c r="F176" s="4">
        <v>21878.2288349526</v>
      </c>
      <c r="G176">
        <v>268.461013352548</v>
      </c>
      <c r="L176">
        <v>211</v>
      </c>
      <c r="M176">
        <v>39758.6872634323</v>
      </c>
      <c r="N176">
        <v>845.832371917604</v>
      </c>
      <c r="P176" s="3">
        <v>175</v>
      </c>
      <c r="Q176" s="4">
        <v>402.560631348028</v>
      </c>
      <c r="R176">
        <v>28795.0304623888</v>
      </c>
    </row>
    <row r="177" ht="16.5" spans="5:18">
      <c r="E177" s="3">
        <v>211</v>
      </c>
      <c r="F177" s="4">
        <v>21973.8952398698</v>
      </c>
      <c r="G177">
        <v>269.938853392248</v>
      </c>
      <c r="L177">
        <v>212</v>
      </c>
      <c r="M177">
        <v>40050.8372387581</v>
      </c>
      <c r="N177">
        <v>863.575073082314</v>
      </c>
      <c r="P177" s="3">
        <v>176</v>
      </c>
      <c r="Q177" s="4">
        <v>410.362329367717</v>
      </c>
      <c r="R177">
        <v>29095.0131367826</v>
      </c>
    </row>
    <row r="178" ht="16.5" spans="5:18">
      <c r="E178" s="3">
        <v>212</v>
      </c>
      <c r="F178" s="4">
        <v>22069.9799629744</v>
      </c>
      <c r="G178">
        <v>271.42482873307</v>
      </c>
      <c r="L178">
        <v>213</v>
      </c>
      <c r="M178">
        <v>40345.1339551852</v>
      </c>
      <c r="N178">
        <v>881.689956082424</v>
      </c>
      <c r="P178" s="3">
        <v>177</v>
      </c>
      <c r="Q178" s="4">
        <v>418.315225709474</v>
      </c>
      <c r="R178">
        <v>29398.1209894968</v>
      </c>
    </row>
    <row r="179" ht="16.5" spans="5:18">
      <c r="E179" s="3">
        <v>213</v>
      </c>
      <c r="F179" s="4">
        <v>22166.4848334363</v>
      </c>
      <c r="G179">
        <v>272.918984158699</v>
      </c>
      <c r="L179">
        <v>214</v>
      </c>
      <c r="M179">
        <v>40641.5931871368</v>
      </c>
      <c r="N179">
        <v>900.184828033507</v>
      </c>
      <c r="P179" s="3">
        <v>178</v>
      </c>
      <c r="Q179" s="4">
        <v>426.422250624193</v>
      </c>
      <c r="R179">
        <v>29704.3865782102</v>
      </c>
    </row>
    <row r="180" ht="16.5" spans="5:18">
      <c r="E180" s="3">
        <v>214</v>
      </c>
      <c r="F180" s="4">
        <v>22263.4116884238</v>
      </c>
      <c r="G180">
        <v>274.421364699349</v>
      </c>
      <c r="L180">
        <v>215</v>
      </c>
      <c r="M180">
        <v>40940.2308249479</v>
      </c>
      <c r="N180">
        <v>919.067659818007</v>
      </c>
      <c r="P180" s="3">
        <v>179</v>
      </c>
      <c r="Q180" s="4">
        <v>434.68639115156</v>
      </c>
      <c r="R180">
        <v>30013.8427997828</v>
      </c>
    </row>
    <row r="181" ht="16.5" spans="5:18">
      <c r="E181" s="3">
        <v>215</v>
      </c>
      <c r="F181" s="4">
        <v>22360.7623731383</v>
      </c>
      <c r="G181">
        <v>275.93201563312</v>
      </c>
      <c r="L181">
        <v>216</v>
      </c>
      <c r="M181">
        <v>41241.0628757168</v>
      </c>
      <c r="N181">
        <v>938.346589520509</v>
      </c>
      <c r="P181" s="3">
        <v>180</v>
      </c>
      <c r="Q181" s="4">
        <v>443.110692220636</v>
      </c>
      <c r="R181">
        <v>30326.5228937898</v>
      </c>
    </row>
    <row r="182" ht="16.5" spans="5:18">
      <c r="E182" s="3">
        <v>216</v>
      </c>
      <c r="F182" s="4">
        <v>22458.53874085</v>
      </c>
      <c r="G182">
        <v>277.450982487358</v>
      </c>
      <c r="L182">
        <v>217</v>
      </c>
      <c r="M182">
        <v>41544.1054641634</v>
      </c>
      <c r="N182">
        <v>958.029925935079</v>
      </c>
      <c r="P182" s="3">
        <v>181</v>
      </c>
      <c r="Q182" s="4">
        <v>451.698257771754</v>
      </c>
      <c r="R182">
        <v>30642.4604460916</v>
      </c>
    </row>
    <row r="183" ht="16.5" spans="5:18">
      <c r="E183" s="3">
        <v>217</v>
      </c>
      <c r="F183" s="4">
        <v>22556.7426529326</v>
      </c>
      <c r="G183">
        <v>278.978311040036</v>
      </c>
      <c r="L183">
        <v>218</v>
      </c>
      <c r="M183">
        <v>41849.3748334931</v>
      </c>
      <c r="N183">
        <v>978.126152146165</v>
      </c>
      <c r="P183" s="3">
        <v>182</v>
      </c>
      <c r="Q183" s="4">
        <v>460.452251900177</v>
      </c>
      <c r="R183">
        <v>30961.6893924416</v>
      </c>
    </row>
    <row r="184" ht="16.5" spans="5:18">
      <c r="E184" s="3">
        <v>218</v>
      </c>
      <c r="F184" s="4">
        <v>22655.3759788992</v>
      </c>
      <c r="G184">
        <v>280.514047321123</v>
      </c>
      <c r="L184">
        <v>219</v>
      </c>
      <c r="M184">
        <v>42156.8873462678</v>
      </c>
      <c r="N184">
        <v>998.643929184625</v>
      </c>
      <c r="P184" s="3">
        <v>183</v>
      </c>
      <c r="Q184" s="4">
        <v>469.375900021906</v>
      </c>
      <c r="R184">
        <v>31284.2440221311</v>
      </c>
    </row>
    <row r="185" ht="16.5" spans="5:18">
      <c r="E185" s="3">
        <v>219</v>
      </c>
      <c r="F185" s="4">
        <v>22754.4405964375</v>
      </c>
      <c r="G185">
        <v>282.05823761398</v>
      </c>
      <c r="L185">
        <v>220</v>
      </c>
      <c r="M185">
        <v>42466.6594852829</v>
      </c>
      <c r="N185">
        <v>1019.59209976044</v>
      </c>
      <c r="P185" s="3">
        <v>184</v>
      </c>
      <c r="Q185" s="4">
        <v>478.47249006209</v>
      </c>
      <c r="R185">
        <v>31610.1589816727</v>
      </c>
    </row>
    <row r="186" ht="16.5" spans="5:18">
      <c r="E186" s="3">
        <v>220</v>
      </c>
      <c r="F186" s="4">
        <v>22853.9383914457</v>
      </c>
      <c r="G186">
        <v>283.610928456751</v>
      </c>
      <c r="L186">
        <v>221</v>
      </c>
      <c r="M186">
        <v>42778.7078544503</v>
      </c>
      <c r="N186">
        <v>1040.97969207372</v>
      </c>
      <c r="P186" s="3">
        <v>185</v>
      </c>
      <c r="Q186" s="4">
        <v>487.745373666462</v>
      </c>
      <c r="R186">
        <v>31939.4692785213</v>
      </c>
    </row>
    <row r="187" ht="16.5" spans="5:18">
      <c r="E187" s="3">
        <v>221</v>
      </c>
      <c r="F187" s="4">
        <v>22953.8712580687</v>
      </c>
      <c r="G187">
        <v>285.172166643763</v>
      </c>
      <c r="L187">
        <v>222</v>
      </c>
      <c r="M187">
        <v>43093.0491796892</v>
      </c>
      <c r="N187">
        <v>1062.81592370567</v>
      </c>
      <c r="P187" s="3">
        <v>186</v>
      </c>
      <c r="Q187" s="4">
        <v>497.789588346444</v>
      </c>
      <c r="R187">
        <v>32233.8555048921</v>
      </c>
    </row>
    <row r="188" ht="16.5" spans="5:18">
      <c r="E188" s="3">
        <v>222</v>
      </c>
      <c r="F188" s="4">
        <v>23054.2410987335</v>
      </c>
      <c r="G188">
        <v>286.741999226943</v>
      </c>
      <c r="L188">
        <v>223</v>
      </c>
      <c r="M188">
        <v>43409.7003098219</v>
      </c>
      <c r="N188">
        <v>1085.11020559116</v>
      </c>
      <c r="P188" s="3">
        <v>187</v>
      </c>
      <c r="Q188" s="4">
        <v>508.342816566035</v>
      </c>
      <c r="R188">
        <v>32511.6181972148</v>
      </c>
    </row>
    <row r="189" ht="16.5" spans="5:18">
      <c r="E189" s="3">
        <v>223</v>
      </c>
      <c r="F189" s="4">
        <v>23155.0498241861</v>
      </c>
      <c r="G189">
        <v>288.32047351723</v>
      </c>
      <c r="L189">
        <v>224</v>
      </c>
      <c r="M189">
        <v>43728.6782174772</v>
      </c>
      <c r="N189">
        <v>1107.87214607463</v>
      </c>
      <c r="P189" s="3">
        <v>188</v>
      </c>
      <c r="Q189" s="4">
        <v>519.119775109567</v>
      </c>
      <c r="R189">
        <v>32791.7744013293</v>
      </c>
    </row>
    <row r="190" ht="16.5" spans="5:18">
      <c r="E190" s="3">
        <v>224</v>
      </c>
      <c r="F190" s="4">
        <v>23256.2993535273</v>
      </c>
      <c r="G190">
        <v>289.907637086003</v>
      </c>
      <c r="L190">
        <v>225</v>
      </c>
      <c r="M190">
        <v>44050.0000000003</v>
      </c>
      <c r="N190">
        <v>1131.11155505108</v>
      </c>
      <c r="P190" s="3">
        <v>189</v>
      </c>
      <c r="Q190" s="4">
        <v>530.125207099883</v>
      </c>
      <c r="R190">
        <v>33074.3447423911</v>
      </c>
    </row>
    <row r="191" ht="16.5" spans="5:18">
      <c r="E191" s="3">
        <v>225</v>
      </c>
      <c r="F191" s="4">
        <v>23357.9916142498</v>
      </c>
      <c r="G191">
        <v>291.503537766517</v>
      </c>
      <c r="L191">
        <v>226</v>
      </c>
      <c r="M191">
        <v>44323.824701765</v>
      </c>
      <c r="N191">
        <v>1154.06969252662</v>
      </c>
      <c r="P191" s="3">
        <v>190</v>
      </c>
      <c r="Q191" s="4">
        <v>541.36395621488</v>
      </c>
      <c r="R191">
        <v>33359.3500232847</v>
      </c>
    </row>
    <row r="192" ht="16.5" spans="5:18">
      <c r="E192" s="3">
        <v>226</v>
      </c>
      <c r="F192" s="4">
        <v>23460.1285422745</v>
      </c>
      <c r="G192">
        <v>293.108223655339</v>
      </c>
      <c r="L192">
        <v>227</v>
      </c>
      <c r="M192">
        <v>44599.3515594277</v>
      </c>
      <c r="N192">
        <v>1177.49381063334</v>
      </c>
      <c r="P192" s="3">
        <v>191</v>
      </c>
      <c r="Q192" s="4">
        <v>552.840968819291</v>
      </c>
      <c r="R192">
        <v>33646.8112261556</v>
      </c>
    </row>
    <row r="193" ht="16.5" spans="5:18">
      <c r="E193" s="3">
        <v>227</v>
      </c>
      <c r="F193" s="4">
        <v>23562.7120819872</v>
      </c>
      <c r="G193">
        <v>294.721743113803</v>
      </c>
      <c r="L193">
        <v>228</v>
      </c>
      <c r="M193">
        <v>44876.591153972</v>
      </c>
      <c r="N193">
        <v>1201.39336736619</v>
      </c>
      <c r="P193" s="3">
        <v>192</v>
      </c>
      <c r="Q193" s="4">
        <v>564.561296141665</v>
      </c>
      <c r="R193">
        <v>33936.7495139547</v>
      </c>
    </row>
    <row r="194" ht="16.5" spans="5:18">
      <c r="E194" s="3">
        <v>228</v>
      </c>
      <c r="F194" s="4">
        <v>23665.7441862763</v>
      </c>
      <c r="G194">
        <v>296.344144769465</v>
      </c>
      <c r="L194">
        <v>229</v>
      </c>
      <c r="M194">
        <v>45155.5541321551</v>
      </c>
      <c r="N194">
        <v>1225.77801268878</v>
      </c>
      <c r="P194" s="3">
        <v>193</v>
      </c>
      <c r="Q194" s="4">
        <v>576.530096497499</v>
      </c>
      <c r="R194">
        <v>34229.1862319963</v>
      </c>
    </row>
    <row r="195" ht="16.5" spans="5:18">
      <c r="E195" s="3">
        <v>229</v>
      </c>
      <c r="F195" s="4">
        <v>23769.2268165693</v>
      </c>
      <c r="G195">
        <v>297.975477517569</v>
      </c>
      <c r="L195">
        <v>230</v>
      </c>
      <c r="M195">
        <v>45436.2512069171</v>
      </c>
      <c r="N195">
        <v>1250.65759242974</v>
      </c>
      <c r="P195" s="3">
        <v>194</v>
      </c>
      <c r="Q195" s="4">
        <v>588.7526375595</v>
      </c>
      <c r="R195">
        <v>34524.1429095297</v>
      </c>
    </row>
    <row r="196" ht="16.5" spans="5:18">
      <c r="E196" s="3">
        <v>230</v>
      </c>
      <c r="F196" s="4">
        <v>23873.1619428703</v>
      </c>
      <c r="G196">
        <v>299.615790522519</v>
      </c>
      <c r="L196">
        <v>231</v>
      </c>
      <c r="M196">
        <v>45718.6931577924</v>
      </c>
      <c r="N196">
        <v>1276.04215225818</v>
      </c>
      <c r="P196" s="3">
        <v>195</v>
      </c>
      <c r="Q196" s="4">
        <v>601.234298675979</v>
      </c>
      <c r="R196">
        <v>34821.6412613241</v>
      </c>
    </row>
    <row r="197" ht="16.5" spans="5:18">
      <c r="E197" s="3">
        <v>231</v>
      </c>
      <c r="F197" s="4">
        <v>23977.5515437978</v>
      </c>
      <c r="G197">
        <v>301.265133219364</v>
      </c>
      <c r="L197">
        <v>232</v>
      </c>
      <c r="M197">
        <v>46002.8908313228</v>
      </c>
      <c r="N197">
        <v>1301.94194173988</v>
      </c>
      <c r="P197" s="3">
        <v>196</v>
      </c>
      <c r="Q197" s="4">
        <v>613.980573238391</v>
      </c>
      <c r="R197">
        <v>35121.7031892673</v>
      </c>
    </row>
    <row r="198" ht="16.5" spans="5:18">
      <c r="E198" s="3">
        <v>232</v>
      </c>
      <c r="F198" s="4">
        <v>24082.3976066221</v>
      </c>
      <c r="G198">
        <v>302.923555315286</v>
      </c>
      <c r="L198">
        <v>233</v>
      </c>
      <c r="M198">
        <v>46288.8551414753</v>
      </c>
      <c r="N198">
        <v>1328.36741847572</v>
      </c>
      <c r="P198" s="3">
        <v>197</v>
      </c>
      <c r="Q198" s="4">
        <v>626.997071099071</v>
      </c>
      <c r="R198">
        <v>35424.3507839781</v>
      </c>
    </row>
    <row r="199" ht="16.5" spans="5:18">
      <c r="E199" s="3">
        <v>233</v>
      </c>
      <c r="F199" s="4">
        <v>24187.702127303</v>
      </c>
      <c r="G199">
        <v>304.591106791095</v>
      </c>
      <c r="L199">
        <v>234</v>
      </c>
      <c r="M199">
        <v>46576.59707006</v>
      </c>
      <c r="N199">
        <v>1355.32925232422</v>
      </c>
      <c r="P199" s="3">
        <v>198</v>
      </c>
      <c r="Q199" s="4">
        <v>640.289521040227</v>
      </c>
      <c r="R199">
        <v>35729.6063264325</v>
      </c>
    </row>
    <row r="200" ht="16.5" spans="5:18">
      <c r="E200" s="3">
        <v>234</v>
      </c>
      <c r="F200" s="4">
        <v>24293.4671105283</v>
      </c>
      <c r="G200">
        <v>306.267837902742</v>
      </c>
      <c r="L200">
        <v>235</v>
      </c>
      <c r="M200">
        <v>46963.0372678494</v>
      </c>
      <c r="N200">
        <v>1392.13154519065</v>
      </c>
      <c r="P200" s="3">
        <v>199</v>
      </c>
      <c r="Q200" s="4">
        <v>653.863773295274</v>
      </c>
      <c r="R200">
        <v>36037.4922896041</v>
      </c>
    </row>
    <row r="201" ht="16.5" spans="5:18">
      <c r="E201" s="3">
        <v>235</v>
      </c>
      <c r="F201" s="4">
        <v>24399.6945697515</v>
      </c>
      <c r="G201">
        <v>307.953799182829</v>
      </c>
      <c r="L201">
        <v>236</v>
      </c>
      <c r="M201">
        <v>47254.9700640775</v>
      </c>
      <c r="N201">
        <v>1420.38759761608</v>
      </c>
      <c r="P201" s="3">
        <v>200</v>
      </c>
      <c r="Q201" s="4">
        <v>667.725802123619</v>
      </c>
      <c r="R201">
        <v>36348.0313401189</v>
      </c>
    </row>
    <row r="202" ht="16.5" spans="5:18">
      <c r="E202" s="3">
        <v>236</v>
      </c>
      <c r="F202" s="4">
        <v>24506.3865272301</v>
      </c>
      <c r="G202">
        <v>309.649041442131</v>
      </c>
      <c r="L202">
        <v>237</v>
      </c>
      <c r="M202">
        <v>47548.717580189</v>
      </c>
      <c r="N202">
        <v>1449.21716229431</v>
      </c>
      <c r="P202" s="3">
        <v>201</v>
      </c>
      <c r="Q202" s="4">
        <v>681.881708440037</v>
      </c>
      <c r="R202">
        <v>36661.2463399234</v>
      </c>
    </row>
    <row r="203" ht="16.5" spans="5:18">
      <c r="E203" s="3">
        <v>237</v>
      </c>
      <c r="F203" s="4">
        <v>24613.5450140646</v>
      </c>
      <c r="G203">
        <v>311.353615771131</v>
      </c>
      <c r="L203">
        <v>238</v>
      </c>
      <c r="M203">
        <v>47844.2910968905</v>
      </c>
      <c r="N203">
        <v>1478.6318797864</v>
      </c>
      <c r="P203" s="3">
        <v>202</v>
      </c>
      <c r="Q203" s="4">
        <v>701.224180267677</v>
      </c>
      <c r="R203">
        <v>37083.0688110096</v>
      </c>
    </row>
    <row r="204" ht="16.5" spans="5:18">
      <c r="E204" s="3">
        <v>238</v>
      </c>
      <c r="F204" s="4">
        <v>24721.1720702366</v>
      </c>
      <c r="G204">
        <v>313.067573541557</v>
      </c>
      <c r="L204">
        <v>239</v>
      </c>
      <c r="M204">
        <v>48141.7019650123</v>
      </c>
      <c r="N204">
        <v>1508.64362692157</v>
      </c>
      <c r="P204" s="3">
        <v>203</v>
      </c>
      <c r="Q204" s="4">
        <v>716.090258186346</v>
      </c>
      <c r="R204">
        <v>37402.6177098675</v>
      </c>
    </row>
    <row r="205" ht="16.5" spans="5:18">
      <c r="E205" s="3">
        <v>239</v>
      </c>
      <c r="F205" s="4">
        <v>24829.2697446481</v>
      </c>
      <c r="G205">
        <v>314.790966407932</v>
      </c>
      <c r="L205">
        <v>240</v>
      </c>
      <c r="M205">
        <v>48440.9616059437</v>
      </c>
      <c r="N205">
        <v>1539.26452159267</v>
      </c>
      <c r="P205" s="3">
        <v>204</v>
      </c>
      <c r="Q205" s="4">
        <v>731.271499613211</v>
      </c>
      <c r="R205">
        <v>37724.9201968732</v>
      </c>
    </row>
    <row r="206" ht="16.5" spans="5:18">
      <c r="E206" s="3">
        <v>240</v>
      </c>
      <c r="F206" s="4">
        <v>24937.84009516</v>
      </c>
      <c r="G206">
        <v>316.523846309129</v>
      </c>
      <c r="L206">
        <v>241</v>
      </c>
      <c r="M206">
        <v>48742.0815120721</v>
      </c>
      <c r="N206">
        <v>1570.50692764903</v>
      </c>
      <c r="P206" s="3">
        <v>205</v>
      </c>
      <c r="Q206" s="4">
        <v>746.774586070957</v>
      </c>
      <c r="R206">
        <v>38049.9999999999</v>
      </c>
    </row>
    <row r="207" ht="16.5" spans="5:18">
      <c r="E207" s="3">
        <v>241</v>
      </c>
      <c r="F207" s="4">
        <v>25046.8851886318</v>
      </c>
      <c r="G207">
        <v>318.266265469938</v>
      </c>
      <c r="L207">
        <v>242</v>
      </c>
      <c r="M207">
        <v>49045.0732472241</v>
      </c>
      <c r="N207">
        <v>1602.38345988872</v>
      </c>
      <c r="P207" s="3">
        <v>206</v>
      </c>
      <c r="Q207" s="4">
        <v>762.439390065181</v>
      </c>
      <c r="R207">
        <v>38329.5944063115</v>
      </c>
    </row>
    <row r="208" ht="16.5" spans="5:18">
      <c r="E208" s="3">
        <v>242</v>
      </c>
      <c r="F208" s="4">
        <v>25156.4071009606</v>
      </c>
      <c r="G208">
        <v>320.018276402638</v>
      </c>
      <c r="L208">
        <v>243</v>
      </c>
      <c r="M208">
        <v>49349.9484471098</v>
      </c>
      <c r="N208">
        <v>1634.90698915194</v>
      </c>
      <c r="P208" s="3">
        <v>207</v>
      </c>
      <c r="Q208" s="4">
        <v>778.432788643036</v>
      </c>
      <c r="R208">
        <v>38611.2432944112</v>
      </c>
    </row>
    <row r="209" ht="16.5" spans="5:18">
      <c r="E209" s="3">
        <v>243</v>
      </c>
      <c r="F209" s="4">
        <v>25266.4079171207</v>
      </c>
      <c r="G209">
        <v>321.779931908582</v>
      </c>
      <c r="L209">
        <v>244</v>
      </c>
      <c r="M209">
        <v>49656.7188197692</v>
      </c>
      <c r="N209">
        <v>1668.09064751796</v>
      </c>
      <c r="P209" s="3">
        <v>208</v>
      </c>
      <c r="Q209" s="4">
        <v>794.76167460704</v>
      </c>
      <c r="R209">
        <v>38894.9617607937</v>
      </c>
    </row>
    <row r="210" ht="16.5" spans="5:18">
      <c r="E210" s="3">
        <v>244</v>
      </c>
      <c r="F210" s="4">
        <v>25376.8897312035</v>
      </c>
      <c r="G210">
        <v>323.551285079786</v>
      </c>
      <c r="L210">
        <v>245</v>
      </c>
      <c r="M210">
        <v>49965.3961460224</v>
      </c>
      <c r="N210">
        <v>1701.9478336075</v>
      </c>
      <c r="P210" s="3">
        <v>209</v>
      </c>
      <c r="Q210" s="4">
        <v>811.433085347384</v>
      </c>
      <c r="R210">
        <v>39180.7650128835</v>
      </c>
    </row>
    <row r="211" ht="16.5" spans="5:18">
      <c r="E211" s="3">
        <v>245</v>
      </c>
      <c r="F211" s="4">
        <v>25487.8546464569</v>
      </c>
      <c r="G211">
        <v>325.33238930053</v>
      </c>
      <c r="L211">
        <v>246</v>
      </c>
      <c r="M211">
        <v>50275.9922799215</v>
      </c>
      <c r="N211">
        <v>1736.49221799265</v>
      </c>
      <c r="P211" s="3">
        <v>210</v>
      </c>
      <c r="Q211" s="4">
        <v>828.454205874892</v>
      </c>
      <c r="R211">
        <v>39468.6683698509</v>
      </c>
    </row>
    <row r="212" ht="16.5" spans="5:18">
      <c r="E212" s="3">
        <v>246</v>
      </c>
      <c r="F212" s="4">
        <v>25599.3047753258</v>
      </c>
      <c r="G212">
        <v>327.123298248968</v>
      </c>
      <c r="L212">
        <v>247</v>
      </c>
      <c r="M212">
        <v>50588.5191492061</v>
      </c>
      <c r="N212">
        <v>1771.73774871671</v>
      </c>
      <c r="P212" s="3">
        <v>211</v>
      </c>
      <c r="Q212" s="4">
        <v>845.832371917604</v>
      </c>
      <c r="R212">
        <v>39758.6872634323</v>
      </c>
    </row>
    <row r="213" ht="16.5" spans="5:18">
      <c r="E213" s="3">
        <v>247</v>
      </c>
      <c r="F213" s="4">
        <v>25711.2422394922</v>
      </c>
      <c r="G213">
        <v>328.924065898743</v>
      </c>
      <c r="L213">
        <v>248</v>
      </c>
      <c r="M213">
        <v>50902.9887557615</v>
      </c>
      <c r="N213">
        <v>1807.698656926</v>
      </c>
      <c r="P213" s="3">
        <v>212</v>
      </c>
      <c r="Q213" s="4">
        <v>863.575073082314</v>
      </c>
      <c r="R213">
        <v>40050.8372387581</v>
      </c>
    </row>
    <row r="214" ht="16.5" spans="5:18">
      <c r="E214" s="3">
        <v>248</v>
      </c>
      <c r="F214" s="4">
        <v>25823.6691699153</v>
      </c>
      <c r="G214">
        <v>330.734746520618</v>
      </c>
      <c r="L214">
        <v>249</v>
      </c>
      <c r="M214">
        <v>51219.4131760791</v>
      </c>
      <c r="N214">
        <v>1844.38946261598</v>
      </c>
      <c r="P214" s="3">
        <v>213</v>
      </c>
      <c r="Q214" s="4">
        <v>881.689956082424</v>
      </c>
      <c r="R214">
        <v>40345.1339551852</v>
      </c>
    </row>
    <row r="215" ht="16.5" spans="5:18">
      <c r="E215" s="3">
        <v>249</v>
      </c>
      <c r="F215" s="4">
        <v>25936.5877068725</v>
      </c>
      <c r="G215">
        <v>332.555394684106</v>
      </c>
      <c r="L215">
        <v>250</v>
      </c>
      <c r="M215">
        <v>51537.8045617208</v>
      </c>
      <c r="N215">
        <v>1881.82498049403</v>
      </c>
      <c r="P215" s="3">
        <v>214</v>
      </c>
      <c r="Q215" s="4">
        <v>900.184828033507</v>
      </c>
      <c r="R215">
        <v>40641.5931871368</v>
      </c>
    </row>
    <row r="216" ht="16.5" spans="5:18">
      <c r="E216" s="3">
        <v>250</v>
      </c>
      <c r="F216" s="4">
        <v>26049.9999999999</v>
      </c>
      <c r="G216">
        <v>334.386065259118</v>
      </c>
      <c r="L216">
        <v>251</v>
      </c>
      <c r="M216">
        <v>51858.1751397852</v>
      </c>
      <c r="N216">
        <v>1920.02032596121</v>
      </c>
      <c r="P216" s="3">
        <v>215</v>
      </c>
      <c r="Q216" s="4">
        <v>919.067659818006</v>
      </c>
      <c r="R216">
        <v>40940.2308249479</v>
      </c>
    </row>
    <row r="217" ht="16.5" spans="5:18">
      <c r="E217" s="3">
        <v>251</v>
      </c>
      <c r="F217" s="4">
        <v>26140.149440788</v>
      </c>
      <c r="G217">
        <v>336.532413055385</v>
      </c>
      <c r="L217">
        <v>252</v>
      </c>
      <c r="M217">
        <v>52180.5372133772</v>
      </c>
      <c r="N217">
        <v>1958.99092121543</v>
      </c>
      <c r="P217" s="3">
        <v>216</v>
      </c>
      <c r="Q217" s="4">
        <v>938.346589520509</v>
      </c>
      <c r="R217">
        <v>41241.0628757168</v>
      </c>
    </row>
    <row r="218" ht="16.5" spans="5:18">
      <c r="E218" s="3">
        <v>252</v>
      </c>
      <c r="F218" s="4">
        <v>26230.6108555366</v>
      </c>
      <c r="G218">
        <v>338.692537768042</v>
      </c>
      <c r="L218">
        <v>253</v>
      </c>
      <c r="M218">
        <v>52504.9031620807</v>
      </c>
      <c r="N218">
        <v>1998.75250147847</v>
      </c>
      <c r="P218" s="3">
        <v>217</v>
      </c>
      <c r="Q218" s="4">
        <v>958.029925935079</v>
      </c>
      <c r="R218">
        <v>41544.1054641634</v>
      </c>
    </row>
    <row r="219" ht="16.5" spans="5:18">
      <c r="E219" s="3">
        <v>253</v>
      </c>
      <c r="F219" s="4">
        <v>26321.3853238727</v>
      </c>
      <c r="G219">
        <v>340.866527827967</v>
      </c>
      <c r="L219">
        <v>254</v>
      </c>
      <c r="M219">
        <v>52831.2854424339</v>
      </c>
      <c r="N219">
        <v>2039.32112134944</v>
      </c>
      <c r="P219" s="3">
        <v>218</v>
      </c>
      <c r="Q219" s="4">
        <v>978.126152146165</v>
      </c>
      <c r="R219">
        <v>41849.3748334931</v>
      </c>
    </row>
    <row r="220" ht="16.5" spans="5:18">
      <c r="E220" s="3">
        <v>254</v>
      </c>
      <c r="F220" s="4">
        <v>26412.4739291591</v>
      </c>
      <c r="G220">
        <v>343.05447223366</v>
      </c>
      <c r="P220" s="3">
        <v>219</v>
      </c>
      <c r="Q220" s="4">
        <v>998.643929184625</v>
      </c>
      <c r="R220">
        <v>42156.8873462678</v>
      </c>
    </row>
    <row r="221" ht="16.5" spans="5:18">
      <c r="E221" s="3">
        <v>255</v>
      </c>
      <c r="F221" s="4">
        <v>26503.8777585081</v>
      </c>
      <c r="G221">
        <v>345.256460554878</v>
      </c>
      <c r="P221" s="3">
        <v>220</v>
      </c>
      <c r="Q221" s="4">
        <v>1019.59209976044</v>
      </c>
      <c r="R221">
        <v>42466.6594852829</v>
      </c>
    </row>
    <row r="222" ht="16.5" spans="5:18">
      <c r="E222" s="3">
        <v>256</v>
      </c>
      <c r="F222" s="4">
        <v>26595.5979027938</v>
      </c>
      <c r="G222">
        <v>347.472582936308</v>
      </c>
      <c r="P222" s="3">
        <v>221</v>
      </c>
      <c r="Q222" s="4">
        <v>1040.97969207372</v>
      </c>
      <c r="R222">
        <v>42778.7078544503</v>
      </c>
    </row>
    <row r="223" ht="16.5" spans="5:18">
      <c r="E223" s="3">
        <v>257</v>
      </c>
      <c r="F223" s="4">
        <v>26687.6354566656</v>
      </c>
      <c r="G223">
        <v>349.702930101257</v>
      </c>
      <c r="P223" s="3">
        <v>222</v>
      </c>
      <c r="Q223" s="4">
        <v>1062.81592370567</v>
      </c>
      <c r="R223">
        <v>43093.0491796892</v>
      </c>
    </row>
    <row r="224" ht="16.5" spans="5:18">
      <c r="E224" s="3">
        <v>258</v>
      </c>
      <c r="F224" s="4">
        <v>26779.9915185609</v>
      </c>
      <c r="G224">
        <v>351.94759335536</v>
      </c>
      <c r="P224" s="3">
        <v>223</v>
      </c>
      <c r="Q224" s="4">
        <v>1085.11020559116</v>
      </c>
      <c r="R224">
        <v>43409.7003098219</v>
      </c>
    </row>
    <row r="225" ht="16.5" spans="5:18">
      <c r="E225" s="3">
        <v>259</v>
      </c>
      <c r="F225" s="4">
        <v>26872.6671907184</v>
      </c>
      <c r="G225">
        <v>354.206664590326</v>
      </c>
      <c r="P225" s="3">
        <v>224</v>
      </c>
      <c r="Q225" s="4">
        <v>1107.87214607463</v>
      </c>
      <c r="R225">
        <v>43728.6782174772</v>
      </c>
    </row>
    <row r="226" ht="16.5" spans="5:18">
      <c r="E226" s="3">
        <v>260</v>
      </c>
      <c r="F226" s="4">
        <v>26965.6635791916</v>
      </c>
      <c r="G226">
        <v>356.480236287692</v>
      </c>
      <c r="P226" s="3">
        <v>225</v>
      </c>
      <c r="Q226" s="4">
        <v>1131.11155505108</v>
      </c>
      <c r="R226">
        <v>44050.0000000003</v>
      </c>
    </row>
    <row r="227" ht="16.5" spans="5:18">
      <c r="E227" s="3">
        <v>261</v>
      </c>
      <c r="F227" s="4">
        <v>27058.9817938611</v>
      </c>
      <c r="G227">
        <v>358.768401522617</v>
      </c>
      <c r="P227" s="3">
        <v>226</v>
      </c>
      <c r="Q227" s="4">
        <v>1154.06969252662</v>
      </c>
      <c r="R227">
        <v>44323.824701765</v>
      </c>
    </row>
    <row r="228" ht="16.5" spans="5:18">
      <c r="E228" s="3">
        <v>262</v>
      </c>
      <c r="F228" s="4">
        <v>27152.6229484488</v>
      </c>
      <c r="G228">
        <v>361.071253967685</v>
      </c>
      <c r="P228" s="3">
        <v>227</v>
      </c>
      <c r="Q228" s="4">
        <v>1177.49381063334</v>
      </c>
      <c r="R228">
        <v>44599.3515594277</v>
      </c>
    </row>
    <row r="229" ht="16.5" spans="5:18">
      <c r="E229" s="3">
        <v>263</v>
      </c>
      <c r="F229" s="4">
        <v>27246.5881605305</v>
      </c>
      <c r="G229">
        <v>363.388887896745</v>
      </c>
      <c r="P229" s="3">
        <v>228</v>
      </c>
      <c r="Q229" s="4">
        <v>1201.39336736619</v>
      </c>
      <c r="R229">
        <v>44876.591153972</v>
      </c>
    </row>
    <row r="230" ht="16.5" spans="5:18">
      <c r="E230" s="3">
        <v>264</v>
      </c>
      <c r="F230" s="4">
        <v>27340.8785515498</v>
      </c>
      <c r="G230">
        <v>365.721398188767</v>
      </c>
      <c r="P230" s="3">
        <v>229</v>
      </c>
      <c r="Q230" s="4">
        <v>1225.77801268878</v>
      </c>
      <c r="R230">
        <v>45155.5541321551</v>
      </c>
    </row>
    <row r="231" ht="16.5" spans="5:18">
      <c r="E231" s="3">
        <v>265</v>
      </c>
      <c r="F231" s="4">
        <v>27435.495246831</v>
      </c>
      <c r="G231">
        <v>368.068880331727</v>
      </c>
      <c r="P231" s="3">
        <v>230</v>
      </c>
      <c r="Q231" s="4">
        <v>1250.65759242974</v>
      </c>
      <c r="R231">
        <v>45436.2512069171</v>
      </c>
    </row>
    <row r="232" ht="16.5" spans="5:18">
      <c r="E232" s="3">
        <v>266</v>
      </c>
      <c r="F232" s="4">
        <v>27530.4393755928</v>
      </c>
      <c r="G232">
        <v>370.431430426519</v>
      </c>
      <c r="P232" s="3">
        <v>231</v>
      </c>
      <c r="Q232" s="4">
        <v>1276.04215225818</v>
      </c>
      <c r="R232">
        <v>45718.6931577924</v>
      </c>
    </row>
    <row r="233" ht="16.5" spans="5:18">
      <c r="E233" s="3">
        <v>267</v>
      </c>
      <c r="F233" s="4">
        <v>27625.7120709616</v>
      </c>
      <c r="G233">
        <v>372.809145190883</v>
      </c>
      <c r="P233" s="3">
        <v>232</v>
      </c>
      <c r="Q233" s="4">
        <v>1301.94194173988</v>
      </c>
      <c r="R233">
        <v>46002.8908313228</v>
      </c>
    </row>
    <row r="234" ht="16.5" spans="5:18">
      <c r="E234" s="3">
        <v>268</v>
      </c>
      <c r="F234" s="4">
        <v>27721.3144699852</v>
      </c>
      <c r="G234">
        <v>375.202121963372</v>
      </c>
      <c r="P234" s="3">
        <v>233</v>
      </c>
      <c r="Q234" s="4">
        <v>1328.36741847572</v>
      </c>
      <c r="R234">
        <v>46288.8551414753</v>
      </c>
    </row>
    <row r="235" ht="16.5" spans="5:18">
      <c r="E235" s="3">
        <v>269</v>
      </c>
      <c r="F235" s="4">
        <v>27817.2477136466</v>
      </c>
      <c r="G235">
        <v>377.610458707331</v>
      </c>
      <c r="P235" s="3">
        <v>234</v>
      </c>
      <c r="Q235" s="4">
        <v>1355.32925232422</v>
      </c>
      <c r="R235">
        <v>46576.59707006</v>
      </c>
    </row>
    <row r="236" ht="16.5" spans="5:18">
      <c r="E236" s="3">
        <v>270</v>
      </c>
      <c r="F236" s="4">
        <v>27913.5129468767</v>
      </c>
      <c r="G236">
        <v>380.034254014908</v>
      </c>
      <c r="P236" s="3">
        <v>235</v>
      </c>
      <c r="Q236" s="4">
        <v>1392.13154519065</v>
      </c>
      <c r="R236">
        <v>46963.0372678494</v>
      </c>
    </row>
    <row r="237" ht="16.5" spans="5:18">
      <c r="E237" s="3">
        <v>271</v>
      </c>
      <c r="F237" s="4">
        <v>28010.1113185692</v>
      </c>
      <c r="G237">
        <v>382.473607111094</v>
      </c>
      <c r="P237" s="3">
        <v>236</v>
      </c>
      <c r="Q237" s="4">
        <v>1420.38759761608</v>
      </c>
      <c r="R237">
        <v>47254.9700640775</v>
      </c>
    </row>
    <row r="238" ht="16.5" spans="5:18">
      <c r="E238" s="3">
        <v>272</v>
      </c>
      <c r="F238" s="4">
        <v>28107.0439815934</v>
      </c>
      <c r="G238">
        <v>384.928617857782</v>
      </c>
      <c r="P238" s="3">
        <v>237</v>
      </c>
      <c r="Q238" s="4">
        <v>1449.21716229431</v>
      </c>
      <c r="R238">
        <v>47548.717580189</v>
      </c>
    </row>
    <row r="239" ht="16.5" spans="5:18">
      <c r="E239" s="3">
        <v>273</v>
      </c>
      <c r="F239" s="4">
        <v>28204.3120928081</v>
      </c>
      <c r="G239">
        <v>387.399386757853</v>
      </c>
      <c r="P239" s="3">
        <v>238</v>
      </c>
      <c r="Q239" s="4">
        <v>1478.6318797864</v>
      </c>
      <c r="R239">
        <v>47844.2910968905</v>
      </c>
    </row>
    <row r="240" ht="16.5" spans="5:18">
      <c r="E240" s="3">
        <v>274</v>
      </c>
      <c r="F240" s="4">
        <v>28301.9168130759</v>
      </c>
      <c r="G240">
        <v>389.886014959298</v>
      </c>
      <c r="P240" s="3">
        <v>239</v>
      </c>
      <c r="Q240" s="4">
        <v>1508.64362692157</v>
      </c>
      <c r="R240">
        <v>48141.7019650123</v>
      </c>
    </row>
    <row r="241" ht="16.5" spans="5:18">
      <c r="E241" s="3">
        <v>275</v>
      </c>
      <c r="F241" s="4">
        <v>28399.8593072766</v>
      </c>
      <c r="G241">
        <v>392.388604259349</v>
      </c>
      <c r="P241" s="3">
        <v>240</v>
      </c>
      <c r="Q241" s="4">
        <v>1539.26452159267</v>
      </c>
      <c r="R241">
        <v>48440.9616059437</v>
      </c>
    </row>
    <row r="242" ht="16.5" spans="5:18">
      <c r="E242" s="3">
        <v>276</v>
      </c>
      <c r="F242" s="4">
        <v>28498.140744321</v>
      </c>
      <c r="G242">
        <v>394.907257108654</v>
      </c>
      <c r="P242" s="3">
        <v>241</v>
      </c>
      <c r="Q242" s="4">
        <v>1570.50692764903</v>
      </c>
      <c r="R242">
        <v>48742.0815120721</v>
      </c>
    </row>
    <row r="243" ht="16.5" spans="5:18">
      <c r="E243" s="3">
        <v>277</v>
      </c>
      <c r="F243" s="4">
        <v>28596.7622971655</v>
      </c>
      <c r="G243">
        <v>397.442076615468</v>
      </c>
      <c r="P243" s="3">
        <v>242</v>
      </c>
      <c r="Q243" s="4">
        <v>1602.38345988872</v>
      </c>
      <c r="R243">
        <v>49045.0732472241</v>
      </c>
    </row>
    <row r="244" ht="16.5" spans="5:18">
      <c r="E244" s="3">
        <v>278</v>
      </c>
      <c r="F244" s="4">
        <v>28695.7251428252</v>
      </c>
      <c r="G244">
        <v>399.993166549873</v>
      </c>
      <c r="P244" s="3">
        <v>243</v>
      </c>
      <c r="Q244" s="4">
        <v>1634.90698915194</v>
      </c>
      <c r="R244">
        <v>49349.9484471098</v>
      </c>
    </row>
    <row r="245" ht="16.5" spans="5:18">
      <c r="E245" s="3">
        <v>279</v>
      </c>
      <c r="F245" s="4">
        <v>28795.0304623888</v>
      </c>
      <c r="G245">
        <v>402.560631348028</v>
      </c>
      <c r="P245" s="3">
        <v>244</v>
      </c>
      <c r="Q245" s="4">
        <v>1668.09064751796</v>
      </c>
      <c r="R245">
        <v>49656.7188197692</v>
      </c>
    </row>
    <row r="246" ht="16.5" spans="5:18">
      <c r="E246" s="3">
        <v>280</v>
      </c>
      <c r="F246" s="4">
        <v>28894.6794410321</v>
      </c>
      <c r="G246">
        <v>405.144576116446</v>
      </c>
      <c r="P246" s="3">
        <v>245</v>
      </c>
      <c r="Q246" s="4">
        <v>1701.9478336075</v>
      </c>
      <c r="R246">
        <v>49965.3961460224</v>
      </c>
    </row>
    <row r="247" ht="16.5" spans="5:18">
      <c r="E247" s="3">
        <v>281</v>
      </c>
      <c r="F247" s="4">
        <v>28994.6732680324</v>
      </c>
      <c r="G247">
        <v>407.745106636292</v>
      </c>
      <c r="P247" s="3">
        <v>246</v>
      </c>
      <c r="Q247" s="4">
        <v>1736.49221799265</v>
      </c>
      <c r="R247">
        <v>50275.9922799214</v>
      </c>
    </row>
    <row r="248" ht="16.5" spans="5:18">
      <c r="E248" s="3">
        <v>282</v>
      </c>
      <c r="F248" s="4">
        <v>29095.0131367826</v>
      </c>
      <c r="G248">
        <v>410.362329367717</v>
      </c>
      <c r="P248" s="3">
        <v>247</v>
      </c>
      <c r="Q248" s="4">
        <v>1771.73774871671</v>
      </c>
      <c r="R248">
        <v>50588.5191492061</v>
      </c>
    </row>
    <row r="249" ht="16.5" spans="5:18">
      <c r="E249" s="3">
        <v>283</v>
      </c>
      <c r="F249" s="4">
        <v>29195.7002448057</v>
      </c>
      <c r="G249">
        <v>412.996351454216</v>
      </c>
      <c r="P249" s="3">
        <v>248</v>
      </c>
      <c r="Q249" s="4">
        <v>1807.698656926</v>
      </c>
      <c r="R249">
        <v>50902.9887557615</v>
      </c>
    </row>
    <row r="250" ht="16.5" spans="5:18">
      <c r="E250" s="3">
        <v>284</v>
      </c>
      <c r="F250" s="4">
        <v>29296.7357937686</v>
      </c>
      <c r="G250">
        <v>415.647280727012</v>
      </c>
      <c r="P250" s="3">
        <v>249</v>
      </c>
      <c r="Q250" s="4">
        <v>1844.38946261598</v>
      </c>
      <c r="R250">
        <v>51219.4131760791</v>
      </c>
    </row>
    <row r="251" ht="16.5" spans="5:18">
      <c r="E251" s="3">
        <v>285</v>
      </c>
      <c r="F251" s="4">
        <v>29398.1209894968</v>
      </c>
      <c r="G251">
        <v>418.315225709474</v>
      </c>
      <c r="P251" s="3">
        <v>250</v>
      </c>
      <c r="Q251" s="4">
        <v>1881.82498049403</v>
      </c>
      <c r="R251">
        <v>51537.8045617208</v>
      </c>
    </row>
    <row r="252" ht="16.5" spans="5:18">
      <c r="E252" s="3">
        <v>286</v>
      </c>
      <c r="F252" s="4">
        <v>29499.857041989</v>
      </c>
      <c r="G252">
        <v>421.000295621557</v>
      </c>
      <c r="P252" s="3">
        <v>251</v>
      </c>
      <c r="Q252" s="4">
        <v>1920.02032596121</v>
      </c>
      <c r="R252">
        <v>51858.1751397852</v>
      </c>
    </row>
    <row r="253" ht="16.5" spans="5:18">
      <c r="E253" s="3">
        <v>287</v>
      </c>
      <c r="F253" s="4">
        <v>29601.9451654309</v>
      </c>
      <c r="G253">
        <v>423.702600384273</v>
      </c>
      <c r="P253" s="3">
        <v>252</v>
      </c>
      <c r="Q253" s="4">
        <v>1958.99092121543</v>
      </c>
      <c r="R253">
        <v>52180.5372133772</v>
      </c>
    </row>
    <row r="254" ht="16.5" spans="5:18">
      <c r="E254" s="3">
        <v>288</v>
      </c>
      <c r="F254" s="4">
        <v>29704.3865782102</v>
      </c>
      <c r="G254">
        <v>426.422250624193</v>
      </c>
      <c r="P254" s="3">
        <v>253</v>
      </c>
      <c r="Q254" s="4">
        <v>1998.75250147847</v>
      </c>
      <c r="R254">
        <v>52504.9031620807</v>
      </c>
    </row>
    <row r="255" ht="16.5" spans="5:18">
      <c r="E255" s="3">
        <v>289</v>
      </c>
      <c r="F255" s="4">
        <v>29807.1825029309</v>
      </c>
      <c r="G255">
        <v>429.159357677974</v>
      </c>
      <c r="P255" s="3">
        <v>254</v>
      </c>
      <c r="Q255" s="4">
        <v>2039.32112134944</v>
      </c>
      <c r="R255">
        <v>52831.2854424339</v>
      </c>
    </row>
    <row r="256" ht="16.5" spans="5:18">
      <c r="E256" s="3">
        <v>290</v>
      </c>
      <c r="F256" s="4">
        <v>29910.3341664282</v>
      </c>
      <c r="G256">
        <v>431.914033596919</v>
      </c>
    </row>
    <row r="257" ht="16.5" spans="5:7">
      <c r="E257" s="3">
        <v>291</v>
      </c>
      <c r="F257" s="4">
        <v>30013.8427997828</v>
      </c>
      <c r="G257">
        <v>434.68639115156</v>
      </c>
    </row>
    <row r="258" ht="16.5" spans="5:7">
      <c r="E258" s="3">
        <v>292</v>
      </c>
      <c r="F258" s="4">
        <v>30117.7096383355</v>
      </c>
      <c r="G258">
        <v>437.476543836281</v>
      </c>
    </row>
    <row r="259" ht="16.5" spans="5:7">
      <c r="E259" s="3">
        <v>293</v>
      </c>
      <c r="F259" s="4">
        <v>30221.9359217025</v>
      </c>
      <c r="G259">
        <v>440.284605873957</v>
      </c>
    </row>
    <row r="260" ht="16.5" spans="5:7">
      <c r="E260" s="3">
        <v>294</v>
      </c>
      <c r="F260" s="4">
        <v>30326.5228937898</v>
      </c>
      <c r="G260">
        <v>443.110692220636</v>
      </c>
    </row>
    <row r="261" ht="16.5" spans="5:7">
      <c r="E261" s="3">
        <v>295</v>
      </c>
      <c r="F261" s="4">
        <v>30431.4718028078</v>
      </c>
      <c r="G261">
        <v>445.95491857024</v>
      </c>
    </row>
    <row r="262" ht="16.5" spans="5:7">
      <c r="E262" s="3">
        <v>296</v>
      </c>
      <c r="F262" s="4">
        <v>30536.7839012868</v>
      </c>
      <c r="G262">
        <v>448.817401359308</v>
      </c>
    </row>
    <row r="263" ht="16.5" spans="5:7">
      <c r="E263" s="3">
        <v>297</v>
      </c>
      <c r="F263" s="4">
        <v>30642.4604460916</v>
      </c>
      <c r="G263">
        <v>451.698257771754</v>
      </c>
    </row>
    <row r="264" ht="16.5" spans="5:7">
      <c r="E264" s="3">
        <v>298</v>
      </c>
      <c r="F264" s="4">
        <v>30748.5026984364</v>
      </c>
      <c r="G264">
        <v>454.597605743672</v>
      </c>
    </row>
    <row r="265" ht="16.5" spans="5:7">
      <c r="E265" s="3">
        <v>299</v>
      </c>
      <c r="F265" s="4">
        <v>30854.9119239002</v>
      </c>
      <c r="G265">
        <v>457.515563968159</v>
      </c>
    </row>
    <row r="266" ht="16.5" spans="5:7">
      <c r="E266" s="3">
        <v>300</v>
      </c>
      <c r="F266" s="4">
        <v>30961.6893924416</v>
      </c>
      <c r="G266">
        <v>460.452251900177</v>
      </c>
    </row>
    <row r="267" ht="16.5" spans="5:7">
      <c r="E267" s="3">
        <v>301</v>
      </c>
      <c r="F267" s="4">
        <v>31068.836378414</v>
      </c>
      <c r="G267">
        <v>463.407789761441</v>
      </c>
    </row>
    <row r="268" ht="16.5" spans="5:7">
      <c r="E268" s="3">
        <v>302</v>
      </c>
      <c r="F268" s="4">
        <v>31176.3541605808</v>
      </c>
      <c r="G268">
        <v>466.382298545344</v>
      </c>
    </row>
    <row r="269" ht="16.5" spans="5:7">
      <c r="E269" s="3">
        <v>303</v>
      </c>
      <c r="F269" s="4">
        <v>31284.2440221311</v>
      </c>
      <c r="G269">
        <v>469.375900021906</v>
      </c>
    </row>
    <row r="270" ht="16.5" spans="5:7">
      <c r="E270" s="3">
        <v>304</v>
      </c>
      <c r="F270" s="4">
        <v>31392.5072506943</v>
      </c>
      <c r="G270">
        <v>472.38871674276</v>
      </c>
    </row>
    <row r="271" ht="16.5" spans="5:7">
      <c r="E271" s="3">
        <v>305</v>
      </c>
      <c r="F271" s="4">
        <v>31501.1451383558</v>
      </c>
      <c r="G271">
        <v>475.420872046173</v>
      </c>
    </row>
    <row r="272" ht="16.5" spans="5:7">
      <c r="E272" s="3">
        <v>306</v>
      </c>
      <c r="F272" s="4">
        <v>31610.1589816727</v>
      </c>
      <c r="G272">
        <v>478.472490062089</v>
      </c>
    </row>
    <row r="273" ht="16.5" spans="5:7">
      <c r="E273" s="3">
        <v>307</v>
      </c>
      <c r="F273" s="4">
        <v>31719.5500816887</v>
      </c>
      <c r="G273">
        <v>481.543695717217</v>
      </c>
    </row>
    <row r="274" ht="16.5" spans="5:7">
      <c r="E274" s="3">
        <v>308</v>
      </c>
      <c r="F274" s="4">
        <v>31829.3197439501</v>
      </c>
      <c r="G274">
        <v>484.634614740139</v>
      </c>
    </row>
    <row r="275" ht="16.5" spans="5:7">
      <c r="E275" s="3">
        <v>309</v>
      </c>
      <c r="F275" s="4">
        <v>31939.4692785213</v>
      </c>
      <c r="G275">
        <v>487.745373666462</v>
      </c>
    </row>
    <row r="276" ht="16.5" spans="5:7">
      <c r="E276" s="3">
        <v>310</v>
      </c>
      <c r="F276" s="4">
        <v>32050.0000000002</v>
      </c>
      <c r="G276">
        <v>490.876099843995</v>
      </c>
    </row>
    <row r="277" ht="16.5" spans="5:7">
      <c r="E277" s="3">
        <v>311</v>
      </c>
      <c r="F277" s="4">
        <v>32141.7962928613</v>
      </c>
      <c r="G277">
        <v>494.320757879385</v>
      </c>
    </row>
    <row r="278" ht="16.5" spans="5:7">
      <c r="E278" s="3">
        <v>312</v>
      </c>
      <c r="F278" s="4">
        <v>32233.8555048921</v>
      </c>
      <c r="G278">
        <v>497.789588346444</v>
      </c>
    </row>
    <row r="279" ht="16.5" spans="5:7">
      <c r="E279" s="3">
        <v>313</v>
      </c>
      <c r="F279" s="4">
        <v>32326.1783891347</v>
      </c>
      <c r="G279">
        <v>501.282760872009</v>
      </c>
    </row>
    <row r="280" ht="16.5" spans="5:7">
      <c r="E280" s="3">
        <v>314</v>
      </c>
      <c r="F280" s="4">
        <v>32418.7657007883</v>
      </c>
      <c r="G280">
        <v>504.800446273253</v>
      </c>
    </row>
    <row r="281" ht="16.5" spans="5:7">
      <c r="E281" s="3">
        <v>315</v>
      </c>
      <c r="F281" s="4">
        <v>32511.6181972148</v>
      </c>
      <c r="G281">
        <v>508.342816566035</v>
      </c>
    </row>
    <row r="282" ht="16.5" spans="5:7">
      <c r="E282" s="3">
        <v>316</v>
      </c>
      <c r="F282" s="4">
        <v>32604.7366379458</v>
      </c>
      <c r="G282">
        <v>511.910044973314</v>
      </c>
    </row>
    <row r="283" ht="16.5" spans="5:7">
      <c r="E283" s="3">
        <v>317</v>
      </c>
      <c r="F283" s="4">
        <v>32698.1217846878</v>
      </c>
      <c r="G283">
        <v>515.502305933616</v>
      </c>
    </row>
    <row r="284" ht="16.5" spans="5:7">
      <c r="E284" s="3">
        <v>318</v>
      </c>
      <c r="F284" s="4">
        <v>32791.7744013293</v>
      </c>
      <c r="G284">
        <v>519.119775109567</v>
      </c>
    </row>
    <row r="285" ht="16.5" spans="5:7">
      <c r="E285" s="3">
        <v>319</v>
      </c>
      <c r="F285" s="4">
        <v>32885.6952539467</v>
      </c>
      <c r="G285">
        <v>522.762629396484</v>
      </c>
    </row>
    <row r="286" ht="16.5" spans="5:7">
      <c r="E286" s="3">
        <v>320</v>
      </c>
      <c r="F286" s="4">
        <v>32979.8851108103</v>
      </c>
      <c r="G286">
        <v>526.431046931021</v>
      </c>
    </row>
    <row r="287" ht="16.5" spans="5:7">
      <c r="E287" s="3">
        <v>321</v>
      </c>
      <c r="F287" s="4">
        <v>33074.3447423911</v>
      </c>
      <c r="G287">
        <v>530.125207099883</v>
      </c>
    </row>
    <row r="288" ht="16.5" spans="5:7">
      <c r="E288" s="3">
        <v>322</v>
      </c>
      <c r="F288" s="4">
        <v>33169.0749213667</v>
      </c>
      <c r="G288">
        <v>533.845290548599</v>
      </c>
    </row>
    <row r="289" ht="16.5" spans="5:7">
      <c r="E289" s="3">
        <v>323</v>
      </c>
      <c r="F289" s="4">
        <v>33264.0764226278</v>
      </c>
      <c r="G289">
        <v>537.591479190353</v>
      </c>
    </row>
    <row r="290" ht="16.5" spans="5:7">
      <c r="E290" s="3">
        <v>324</v>
      </c>
      <c r="F290" s="4">
        <v>33359.3500232847</v>
      </c>
      <c r="G290">
        <v>541.36395621488</v>
      </c>
    </row>
    <row r="291" ht="16.5" spans="5:7">
      <c r="E291" s="3">
        <v>325</v>
      </c>
      <c r="F291" s="4">
        <v>33454.8965026732</v>
      </c>
      <c r="G291">
        <v>545.162906097426</v>
      </c>
    </row>
    <row r="292" ht="16.5" spans="5:7">
      <c r="E292" s="3">
        <v>326</v>
      </c>
      <c r="F292" s="4">
        <v>33550.7166423613</v>
      </c>
      <c r="G292">
        <v>548.988514607766</v>
      </c>
    </row>
    <row r="293" ht="16.5" spans="5:7">
      <c r="E293" s="3">
        <v>327</v>
      </c>
      <c r="F293" s="4">
        <v>33646.8112261556</v>
      </c>
      <c r="G293">
        <v>552.840968819291</v>
      </c>
    </row>
    <row r="294" ht="16.5" spans="5:7">
      <c r="E294" s="3">
        <v>328</v>
      </c>
      <c r="F294" s="4">
        <v>33743.1810401077</v>
      </c>
      <c r="G294">
        <v>556.720457118155</v>
      </c>
    </row>
    <row r="295" ht="16.5" spans="5:7">
      <c r="E295" s="3">
        <v>329</v>
      </c>
      <c r="F295" s="4">
        <v>33839.8268725205</v>
      </c>
      <c r="G295">
        <v>560.627169212486</v>
      </c>
    </row>
    <row r="296" ht="16.5" spans="5:7">
      <c r="E296" s="3">
        <v>330</v>
      </c>
      <c r="F296" s="4">
        <v>33936.7495139547</v>
      </c>
      <c r="G296">
        <v>564.561296141665</v>
      </c>
    </row>
    <row r="297" ht="16.5" spans="5:7">
      <c r="E297" s="3">
        <v>331</v>
      </c>
      <c r="F297" s="4">
        <v>34033.9497572353</v>
      </c>
      <c r="G297">
        <v>568.523030285664</v>
      </c>
    </row>
    <row r="298" ht="16.5" spans="5:7">
      <c r="E298" s="3">
        <v>332</v>
      </c>
      <c r="F298" s="4">
        <v>34131.4283974581</v>
      </c>
      <c r="G298">
        <v>572.512565374459</v>
      </c>
    </row>
    <row r="299" ht="16.5" spans="5:7">
      <c r="E299" s="3">
        <v>333</v>
      </c>
      <c r="F299" s="4">
        <v>34229.1862319963</v>
      </c>
      <c r="G299">
        <v>576.530096497499</v>
      </c>
    </row>
    <row r="300" ht="16.5" spans="5:7">
      <c r="E300" s="3">
        <v>334</v>
      </c>
      <c r="F300" s="4">
        <v>34327.2240605066</v>
      </c>
      <c r="G300">
        <v>580.575820113246</v>
      </c>
    </row>
    <row r="301" ht="16.5" spans="5:7">
      <c r="E301" s="3">
        <v>335</v>
      </c>
      <c r="F301" s="4">
        <v>34425.5426849364</v>
      </c>
      <c r="G301">
        <v>584.649934058787</v>
      </c>
    </row>
    <row r="302" ht="16.5" spans="5:7">
      <c r="E302" s="3">
        <v>336</v>
      </c>
      <c r="F302" s="4">
        <v>34524.1429095297</v>
      </c>
      <c r="G302">
        <v>588.7526375595</v>
      </c>
    </row>
    <row r="303" ht="16.5" spans="5:7">
      <c r="E303" s="3">
        <v>337</v>
      </c>
      <c r="F303" s="4">
        <v>34623.0255408341</v>
      </c>
      <c r="G303">
        <v>592.884131238805</v>
      </c>
    </row>
    <row r="304" ht="16.5" spans="5:7">
      <c r="E304" s="3">
        <v>338</v>
      </c>
      <c r="F304" s="4">
        <v>34722.1913877075</v>
      </c>
      <c r="G304">
        <v>597.044617127966</v>
      </c>
    </row>
    <row r="305" ht="16.5" spans="5:7">
      <c r="E305" s="3">
        <v>339</v>
      </c>
      <c r="F305" s="4">
        <v>34821.6412613241</v>
      </c>
      <c r="G305">
        <v>601.234298675979</v>
      </c>
    </row>
    <row r="306" ht="16.5" spans="5:7">
      <c r="E306" s="3">
        <v>340</v>
      </c>
      <c r="F306" s="4">
        <v>34921.3759751817</v>
      </c>
      <c r="G306">
        <v>605.453380759513</v>
      </c>
    </row>
    <row r="307" ht="16.5" spans="5:7">
      <c r="E307" s="3">
        <v>341</v>
      </c>
      <c r="F307" s="4">
        <v>35021.396345108</v>
      </c>
      <c r="G307">
        <v>609.702069692934</v>
      </c>
    </row>
    <row r="308" ht="16.5" spans="5:7">
      <c r="E308" s="3">
        <v>342</v>
      </c>
      <c r="F308" s="4">
        <v>35121.7031892673</v>
      </c>
      <c r="G308">
        <v>613.980573238391</v>
      </c>
    </row>
    <row r="309" ht="16.5" spans="5:7">
      <c r="E309" s="3">
        <v>343</v>
      </c>
      <c r="F309" s="4">
        <v>35222.2973281674</v>
      </c>
      <c r="G309">
        <v>618.289100615975</v>
      </c>
    </row>
    <row r="310" ht="16.5" spans="5:7">
      <c r="E310" s="3">
        <v>344</v>
      </c>
      <c r="F310" s="4">
        <v>35323.1795846662</v>
      </c>
      <c r="G310">
        <v>622.627862513954</v>
      </c>
    </row>
    <row r="311" ht="16.5" spans="5:7">
      <c r="E311" s="3">
        <v>345</v>
      </c>
      <c r="F311" s="4">
        <v>35424.3507839781</v>
      </c>
      <c r="G311">
        <v>626.997071099071</v>
      </c>
    </row>
    <row r="312" ht="16.5" spans="5:7">
      <c r="E312" s="3">
        <v>346</v>
      </c>
      <c r="F312" s="4">
        <v>35525.8117536813</v>
      </c>
      <c r="G312">
        <v>631.396940026922</v>
      </c>
    </row>
    <row r="313" ht="16.5" spans="5:7">
      <c r="E313" s="3">
        <v>347</v>
      </c>
      <c r="F313" s="4">
        <v>35627.5633237242</v>
      </c>
      <c r="G313">
        <v>635.827684452402</v>
      </c>
    </row>
    <row r="314" ht="16.5" spans="5:7">
      <c r="E314" s="3">
        <v>348</v>
      </c>
      <c r="F314" s="4">
        <v>35729.6063264325</v>
      </c>
      <c r="G314">
        <v>640.289521040227</v>
      </c>
    </row>
    <row r="315" ht="16.5" spans="5:7">
      <c r="E315" s="3">
        <v>349</v>
      </c>
      <c r="F315" s="4">
        <v>35831.9415965154</v>
      </c>
      <c r="G315">
        <v>644.782667975531</v>
      </c>
    </row>
    <row r="316" ht="16.5" spans="5:7">
      <c r="E316" s="3">
        <v>350</v>
      </c>
      <c r="F316" s="4">
        <v>35934.5699710734</v>
      </c>
      <c r="G316">
        <v>649.307344974531</v>
      </c>
    </row>
    <row r="317" ht="16.5" spans="5:7">
      <c r="E317" s="3">
        <v>351</v>
      </c>
      <c r="F317" s="4">
        <v>36037.4922896041</v>
      </c>
      <c r="G317">
        <v>653.863773295274</v>
      </c>
    </row>
    <row r="318" ht="16.5" spans="5:7">
      <c r="E318" s="3">
        <v>352</v>
      </c>
      <c r="F318" s="4">
        <v>36140.7093940099</v>
      </c>
      <c r="G318">
        <v>658.452175748456</v>
      </c>
    </row>
    <row r="319" ht="16.5" spans="5:7">
      <c r="E319" s="3">
        <v>353</v>
      </c>
      <c r="F319" s="4">
        <v>36244.2221286042</v>
      </c>
      <c r="G319">
        <v>663.072776708319</v>
      </c>
    </row>
    <row r="320" ht="16.5" spans="5:7">
      <c r="E320" s="3">
        <v>354</v>
      </c>
      <c r="F320" s="4">
        <v>36348.0313401189</v>
      </c>
      <c r="G320">
        <v>667.725802123619</v>
      </c>
    </row>
    <row r="321" ht="16.5" spans="5:7">
      <c r="E321" s="3">
        <v>355</v>
      </c>
      <c r="F321" s="4">
        <v>36452.1378777111</v>
      </c>
      <c r="G321">
        <v>672.411479528679</v>
      </c>
    </row>
    <row r="322" ht="16.5" spans="5:7">
      <c r="E322" s="3">
        <v>356</v>
      </c>
      <c r="F322" s="4">
        <v>36556.5425929698</v>
      </c>
      <c r="G322">
        <v>677.130038054515</v>
      </c>
    </row>
    <row r="323" ht="16.5" spans="5:7">
      <c r="E323" s="3">
        <v>357</v>
      </c>
      <c r="F323" s="4">
        <v>36661.2463399234</v>
      </c>
      <c r="G323">
        <v>681.881708440037</v>
      </c>
    </row>
    <row r="324" ht="16.5" spans="5:7">
      <c r="E324" s="3">
        <v>358</v>
      </c>
      <c r="F324" s="4">
        <v>36766.249975046</v>
      </c>
      <c r="G324">
        <v>686.666723043336</v>
      </c>
    </row>
    <row r="325" ht="16.5" spans="5:7">
      <c r="E325" s="3">
        <v>359</v>
      </c>
      <c r="F325" s="4">
        <v>36871.554357265</v>
      </c>
      <c r="G325">
        <v>691.485315853046</v>
      </c>
    </row>
    <row r="326" ht="16.5" spans="5:7">
      <c r="E326" s="3">
        <v>360</v>
      </c>
      <c r="F326" s="4">
        <v>36977.160347968</v>
      </c>
      <c r="G326">
        <v>696.337722499785</v>
      </c>
    </row>
    <row r="327" ht="16.5" spans="5:7">
      <c r="E327" s="3">
        <v>361</v>
      </c>
      <c r="F327" s="4">
        <v>37083.0688110096</v>
      </c>
      <c r="G327">
        <v>701.224180267677</v>
      </c>
    </row>
    <row r="328" ht="16.5" spans="5:7">
      <c r="E328" s="3">
        <v>362</v>
      </c>
      <c r="F328" s="4">
        <v>37189.2806127185</v>
      </c>
      <c r="G328">
        <v>706.144928105954</v>
      </c>
    </row>
    <row r="329" ht="16.5" spans="5:7">
      <c r="E329" s="3">
        <v>363</v>
      </c>
      <c r="F329" s="4">
        <v>37295.796621905</v>
      </c>
      <c r="G329">
        <v>711.100206640648</v>
      </c>
    </row>
    <row r="330" ht="16.5" spans="5:7">
      <c r="E330" s="3">
        <v>364</v>
      </c>
      <c r="F330" s="5">
        <v>37402.6177098675</v>
      </c>
      <c r="G330">
        <v>716.090258186346</v>
      </c>
    </row>
    <row r="331" ht="16.5" spans="5:7">
      <c r="E331" s="3">
        <v>365</v>
      </c>
      <c r="F331" s="5">
        <v>37509.7447504002</v>
      </c>
      <c r="G331">
        <v>721.115326758051</v>
      </c>
    </row>
    <row r="332" ht="16.5" spans="5:7">
      <c r="E332" s="3">
        <v>366</v>
      </c>
      <c r="F332" s="5">
        <v>37617.1786197999</v>
      </c>
      <c r="G332">
        <v>726.175658083105</v>
      </c>
    </row>
    <row r="333" ht="16.5" spans="5:7">
      <c r="E333" s="3">
        <v>367</v>
      </c>
      <c r="F333" s="5">
        <v>37724.9201968732</v>
      </c>
      <c r="G333">
        <v>731.27149961321</v>
      </c>
    </row>
    <row r="334" ht="16.5" spans="5:7">
      <c r="E334" s="3">
        <v>368</v>
      </c>
      <c r="F334" s="5">
        <v>37832.9703629438</v>
      </c>
      <c r="G334">
        <v>736.403100536531</v>
      </c>
    </row>
    <row r="335" ht="16.5" spans="5:7">
      <c r="E335" s="3">
        <v>369</v>
      </c>
      <c r="F335" s="5">
        <v>37941.3300018595</v>
      </c>
      <c r="G335">
        <v>741.570711789872</v>
      </c>
    </row>
    <row r="336" ht="16.5" spans="5:7">
      <c r="E336" s="3">
        <v>370</v>
      </c>
      <c r="F336" s="5">
        <v>38049.9999999999</v>
      </c>
      <c r="G336">
        <v>746.774586070957</v>
      </c>
    </row>
    <row r="337" ht="16.5" spans="5:7">
      <c r="E337" s="3">
        <v>371</v>
      </c>
      <c r="F337" s="5">
        <v>38142.9707870247</v>
      </c>
      <c r="G337">
        <v>751.960096514662</v>
      </c>
    </row>
    <row r="338" ht="16.5" spans="5:7">
      <c r="E338" s="3">
        <v>372</v>
      </c>
      <c r="F338" s="5">
        <v>38236.1687374461</v>
      </c>
      <c r="G338">
        <v>757.181614502092</v>
      </c>
    </row>
    <row r="339" ht="16.5" spans="5:7">
      <c r="E339" s="3">
        <v>373</v>
      </c>
      <c r="F339" s="5">
        <v>38329.5944063115</v>
      </c>
      <c r="G339">
        <v>762.439390065181</v>
      </c>
    </row>
    <row r="340" ht="16.5" spans="5:7">
      <c r="E340" s="3">
        <v>374</v>
      </c>
      <c r="F340" s="5">
        <v>38423.2483500249</v>
      </c>
      <c r="G340">
        <v>767.733674972057</v>
      </c>
    </row>
    <row r="341" ht="16.5" spans="5:7">
      <c r="E341" s="3">
        <v>375</v>
      </c>
      <c r="F341" s="5">
        <v>38517.1311263494</v>
      </c>
      <c r="G341">
        <v>773.064722739089</v>
      </c>
    </row>
    <row r="342" ht="16.5" spans="5:7">
      <c r="E342" s="3">
        <v>376</v>
      </c>
      <c r="F342" s="5">
        <v>38611.2432944112</v>
      </c>
      <c r="G342">
        <v>778.432788643036</v>
      </c>
    </row>
    <row r="343" ht="16.5" spans="5:7">
      <c r="E343" s="3">
        <v>377</v>
      </c>
      <c r="F343" s="5">
        <v>38705.5854147026</v>
      </c>
      <c r="G343">
        <v>783.838129733267</v>
      </c>
    </row>
    <row r="344" ht="16.5" spans="5:7">
      <c r="E344" s="3">
        <v>378</v>
      </c>
      <c r="F344" s="5">
        <v>38800.1580490852</v>
      </c>
      <c r="G344">
        <v>789.281004844068</v>
      </c>
    </row>
    <row r="345" ht="16.5" spans="5:7">
      <c r="E345" s="3">
        <v>379</v>
      </c>
      <c r="F345" s="5">
        <v>38894.9617607937</v>
      </c>
      <c r="G345">
        <v>794.76167460704</v>
      </c>
    </row>
    <row r="346" ht="16.5" spans="5:7">
      <c r="E346" s="3">
        <v>380</v>
      </c>
      <c r="F346" s="5">
        <v>38989.9971144388</v>
      </c>
      <c r="G346">
        <v>800.280401463578</v>
      </c>
    </row>
    <row r="347" ht="16.5" spans="5:7">
      <c r="E347" s="3">
        <v>381</v>
      </c>
      <c r="F347" s="5">
        <v>39085.264676011</v>
      </c>
      <c r="G347">
        <v>805.837449677436</v>
      </c>
    </row>
    <row r="348" ht="16.5" spans="5:7">
      <c r="E348" s="3">
        <v>382</v>
      </c>
      <c r="F348" s="5">
        <v>39180.7650128835</v>
      </c>
      <c r="G348">
        <v>811.433085347384</v>
      </c>
    </row>
    <row r="349" ht="16.5" spans="5:7">
      <c r="E349" s="3">
        <v>383</v>
      </c>
      <c r="F349" s="5">
        <v>39276.4986938159</v>
      </c>
      <c r="G349">
        <v>817.067576419948</v>
      </c>
    </row>
    <row r="350" ht="16.5" spans="5:7">
      <c r="E350" s="3">
        <v>384</v>
      </c>
      <c r="F350" s="5">
        <v>39372.4662889576</v>
      </c>
      <c r="G350">
        <v>822.741192702244</v>
      </c>
    </row>
    <row r="351" ht="16.5" spans="5:7">
      <c r="E351" s="3">
        <v>385</v>
      </c>
      <c r="F351" s="5">
        <v>39468.6683698509</v>
      </c>
      <c r="G351">
        <v>828.454205874891</v>
      </c>
    </row>
    <row r="352" ht="16.5" spans="5:7">
      <c r="E352" s="3">
        <v>386</v>
      </c>
      <c r="F352" s="5">
        <v>39565.1055094347</v>
      </c>
      <c r="G352">
        <v>834.20688950503</v>
      </c>
    </row>
    <row r="353" ht="16.5" spans="5:7">
      <c r="E353" s="3">
        <v>387</v>
      </c>
      <c r="F353" s="5">
        <v>39661.7782820478</v>
      </c>
      <c r="G353">
        <v>839.999519059414</v>
      </c>
    </row>
    <row r="354" ht="16.5" spans="5:7">
      <c r="E354" s="3">
        <v>388</v>
      </c>
      <c r="F354" s="5">
        <v>39758.6872634323</v>
      </c>
      <c r="G354">
        <v>845.832371917604</v>
      </c>
    </row>
    <row r="355" ht="16.5" spans="5:7">
      <c r="E355" s="3">
        <v>389</v>
      </c>
      <c r="F355" s="5">
        <v>39855.8330307372</v>
      </c>
      <c r="G355">
        <v>851.705727385253</v>
      </c>
    </row>
    <row r="356" ht="16.5" spans="5:7">
      <c r="E356" s="3">
        <v>390</v>
      </c>
      <c r="F356" s="5">
        <v>39953.2161625216</v>
      </c>
      <c r="G356">
        <v>857.619866707474</v>
      </c>
    </row>
    <row r="357" ht="16.5" spans="5:7">
      <c r="E357" s="3">
        <v>391</v>
      </c>
      <c r="F357" s="5">
        <v>40050.8372387581</v>
      </c>
      <c r="G357">
        <v>863.575073082314</v>
      </c>
    </row>
    <row r="358" ht="16.5" spans="5:7">
      <c r="E358" s="3">
        <v>392</v>
      </c>
      <c r="F358" s="5">
        <v>40148.6968408366</v>
      </c>
      <c r="G358">
        <v>869.571631674313</v>
      </c>
    </row>
    <row r="359" ht="16.5" spans="5:7">
      <c r="E359" s="3">
        <v>393</v>
      </c>
      <c r="F359" s="5">
        <v>40246.7955515675</v>
      </c>
      <c r="G359">
        <v>875.609829628155</v>
      </c>
    </row>
    <row r="360" ht="16.5" spans="5:7">
      <c r="E360" s="3">
        <v>394</v>
      </c>
      <c r="F360" s="5">
        <v>40345.1339551852</v>
      </c>
      <c r="G360">
        <v>881.689956082424</v>
      </c>
    </row>
    <row r="361" ht="16.5" spans="5:7">
      <c r="E361" s="3">
        <v>395</v>
      </c>
      <c r="F361" s="5">
        <v>40443.7126373516</v>
      </c>
      <c r="G361">
        <v>887.812302183445</v>
      </c>
    </row>
    <row r="362" ht="16.5" spans="5:7">
      <c r="E362" s="3">
        <v>396</v>
      </c>
      <c r="F362" s="5">
        <v>40542.5321851596</v>
      </c>
      <c r="G362">
        <v>893.977161099229</v>
      </c>
    </row>
    <row r="363" ht="16.5" spans="5:7">
      <c r="E363" s="3">
        <v>397</v>
      </c>
      <c r="F363" s="5">
        <v>40641.5931871368</v>
      </c>
      <c r="G363">
        <v>900.184828033507</v>
      </c>
    </row>
    <row r="364" ht="16.5" spans="5:7">
      <c r="E364" s="3">
        <v>398</v>
      </c>
      <c r="F364" s="5">
        <v>40740.8962332484</v>
      </c>
      <c r="G364">
        <v>906.43560023987</v>
      </c>
    </row>
    <row r="365" ht="16.5" spans="5:7">
      <c r="E365" s="3">
        <v>399</v>
      </c>
      <c r="F365" s="5">
        <v>40840.4419149014</v>
      </c>
      <c r="G365">
        <v>912.729777036001</v>
      </c>
    </row>
    <row r="366" ht="16.5" spans="5:7">
      <c r="E366" s="3">
        <v>400</v>
      </c>
      <c r="F366" s="5">
        <v>40940.2308249479</v>
      </c>
      <c r="G366">
        <v>919.067659818007</v>
      </c>
    </row>
    <row r="367" ht="16.5" spans="5:7">
      <c r="E367" s="3">
        <v>401</v>
      </c>
      <c r="F367" s="5">
        <v>41040.2635576882</v>
      </c>
      <c r="G367">
        <v>925.449552074853</v>
      </c>
    </row>
    <row r="368" ht="16.5" spans="5:7">
      <c r="E368" s="3">
        <v>402</v>
      </c>
      <c r="F368" s="5">
        <v>41140.5407088751</v>
      </c>
      <c r="G368">
        <v>931.875759402894</v>
      </c>
    </row>
    <row r="369" ht="16.5" spans="5:7">
      <c r="E369" s="3">
        <v>403</v>
      </c>
      <c r="F369" s="5">
        <v>41241.0628757168</v>
      </c>
      <c r="G369">
        <v>938.346589520509</v>
      </c>
    </row>
    <row r="370" ht="16.5" spans="5:7">
      <c r="E370" s="3">
        <v>404</v>
      </c>
      <c r="F370" s="5">
        <v>41341.8306568808</v>
      </c>
      <c r="G370">
        <v>944.862352282834</v>
      </c>
    </row>
    <row r="371" ht="16.5" spans="5:7">
      <c r="E371" s="3">
        <v>405</v>
      </c>
      <c r="F371" s="5">
        <v>41442.8446524975</v>
      </c>
      <c r="G371">
        <v>951.423359696601</v>
      </c>
    </row>
    <row r="372" ht="16.5" spans="5:7">
      <c r="E372" s="3">
        <v>406</v>
      </c>
      <c r="F372" s="5">
        <v>41544.1054641634</v>
      </c>
      <c r="G372">
        <v>958.029925935079</v>
      </c>
    </row>
    <row r="373" ht="16.5" spans="5:7">
      <c r="E373" s="3">
        <v>407</v>
      </c>
      <c r="F373" s="5">
        <v>41645.613694945</v>
      </c>
      <c r="G373">
        <v>964.682367353116</v>
      </c>
    </row>
    <row r="374" ht="16.5" spans="5:7">
      <c r="E374" s="3">
        <v>408</v>
      </c>
      <c r="F374" s="5">
        <v>41747.3699493825</v>
      </c>
      <c r="G374">
        <v>971.381002502291</v>
      </c>
    </row>
    <row r="375" ht="16.5" spans="5:7">
      <c r="E375" s="3">
        <v>409</v>
      </c>
      <c r="F375" s="5">
        <v>41849.3748334931</v>
      </c>
      <c r="G375">
        <v>978.126152146165</v>
      </c>
    </row>
    <row r="376" ht="16.5" spans="5:7">
      <c r="E376" s="3">
        <v>410</v>
      </c>
      <c r="F376" s="5">
        <v>41951.6289547747</v>
      </c>
      <c r="G376">
        <v>984.91813927564</v>
      </c>
    </row>
    <row r="377" ht="16.5" spans="5:7">
      <c r="E377" s="3">
        <v>411</v>
      </c>
      <c r="F377" s="5">
        <v>42054.1329222095</v>
      </c>
      <c r="G377">
        <v>991.757289124428</v>
      </c>
    </row>
    <row r="378" ht="16.5" spans="5:7">
      <c r="E378" s="3">
        <v>412</v>
      </c>
      <c r="F378" s="5">
        <v>42156.8873462678</v>
      </c>
      <c r="G378">
        <v>998.643929184625</v>
      </c>
    </row>
    <row r="379" ht="16.5" spans="5:7">
      <c r="E379" s="3">
        <v>413</v>
      </c>
      <c r="F379" s="5">
        <v>42259.8928389116</v>
      </c>
      <c r="G379">
        <v>1005.57838922239</v>
      </c>
    </row>
    <row r="380" ht="16.5" spans="5:7">
      <c r="E380" s="3">
        <v>414</v>
      </c>
      <c r="F380" s="5">
        <v>42363.1500135979</v>
      </c>
      <c r="G380">
        <v>1012.56100129374</v>
      </c>
    </row>
    <row r="381" ht="16.5" spans="5:7">
      <c r="E381" s="3">
        <v>415</v>
      </c>
      <c r="F381" s="5">
        <v>42466.6594852829</v>
      </c>
      <c r="G381">
        <v>1019.59209976044</v>
      </c>
    </row>
    <row r="382" ht="16.5" spans="5:7">
      <c r="E382" s="3">
        <v>416</v>
      </c>
      <c r="F382" s="5">
        <v>42570.421870425</v>
      </c>
      <c r="G382">
        <v>1026.67202130603</v>
      </c>
    </row>
    <row r="383" ht="16.5" spans="5:7">
      <c r="E383" s="3">
        <v>417</v>
      </c>
      <c r="F383" s="5">
        <v>42674.4377869892</v>
      </c>
      <c r="G383">
        <v>1033.80110495194</v>
      </c>
    </row>
    <row r="384" ht="16.5" spans="5:7">
      <c r="E384" s="3">
        <v>418</v>
      </c>
      <c r="F384" s="5">
        <v>42778.7078544503</v>
      </c>
      <c r="G384">
        <v>1040.97969207372</v>
      </c>
    </row>
    <row r="385" ht="16.5" spans="5:7">
      <c r="E385" s="3">
        <v>419</v>
      </c>
      <c r="F385" s="5">
        <v>42883.2326937967</v>
      </c>
      <c r="G385">
        <v>1048.20812641738</v>
      </c>
    </row>
    <row r="386" ht="16.5" spans="5:7">
      <c r="E386" s="3">
        <v>420</v>
      </c>
      <c r="F386" s="5">
        <v>42988.0129275341</v>
      </c>
      <c r="G386">
        <v>1055.48675411588</v>
      </c>
    </row>
    <row r="387" ht="16.5" spans="5:7">
      <c r="E387" s="3">
        <v>421</v>
      </c>
      <c r="F387" s="5">
        <v>43093.0491796892</v>
      </c>
      <c r="G387">
        <v>1062.81592370567</v>
      </c>
    </row>
    <row r="388" ht="16.5" spans="5:7">
      <c r="E388" s="3">
        <v>422</v>
      </c>
      <c r="F388" s="5">
        <v>43198.3420758135</v>
      </c>
      <c r="G388">
        <v>1070.1959861434</v>
      </c>
    </row>
    <row r="389" ht="16.5" spans="5:7">
      <c r="E389" s="3">
        <v>423</v>
      </c>
      <c r="F389" s="5">
        <v>43303.892242987</v>
      </c>
      <c r="G389">
        <v>1077.6272948227</v>
      </c>
    </row>
    <row r="390" ht="16.5" spans="5:7">
      <c r="E390" s="3">
        <v>424</v>
      </c>
      <c r="F390" s="5">
        <v>43409.7003098219</v>
      </c>
      <c r="G390">
        <v>1085.11020559116</v>
      </c>
    </row>
    <row r="391" ht="16.5" spans="5:7">
      <c r="E391" s="3">
        <v>425</v>
      </c>
      <c r="F391" s="5">
        <v>43515.7669064661</v>
      </c>
      <c r="G391">
        <v>1092.64507676731</v>
      </c>
    </row>
    <row r="392" ht="16.5" spans="5:7">
      <c r="E392" s="3">
        <v>426</v>
      </c>
      <c r="F392" s="5">
        <v>43622.0926646074</v>
      </c>
      <c r="G392">
        <v>1100.23226915778</v>
      </c>
    </row>
    <row r="393" ht="16.5" spans="5:7">
      <c r="E393" s="3">
        <v>427</v>
      </c>
      <c r="F393" s="5">
        <v>43728.6782174772</v>
      </c>
      <c r="G393">
        <v>1107.87214607463</v>
      </c>
    </row>
    <row r="394" ht="16.5" spans="5:7">
      <c r="E394" s="3">
        <v>428</v>
      </c>
      <c r="F394" s="5">
        <v>43835.5241998538</v>
      </c>
      <c r="G394">
        <v>1115.56507335271</v>
      </c>
    </row>
    <row r="395" ht="16.5" spans="5:7">
      <c r="E395" s="3">
        <v>429</v>
      </c>
      <c r="F395" s="5">
        <v>43942.6312480668</v>
      </c>
      <c r="G395">
        <v>1123.31141936715</v>
      </c>
    </row>
    <row r="396" ht="16.5" spans="5:7">
      <c r="E396" s="3">
        <v>430</v>
      </c>
      <c r="F396" s="5">
        <v>44050.0000000003</v>
      </c>
      <c r="G396">
        <v>1131.11155505108</v>
      </c>
    </row>
    <row r="397" ht="16.5" spans="5:7">
      <c r="E397" s="3">
        <v>431</v>
      </c>
      <c r="F397" s="5">
        <v>44141.0864226079</v>
      </c>
      <c r="G397">
        <v>1138.71306795991</v>
      </c>
    </row>
    <row r="398" ht="16.5" spans="5:7">
      <c r="E398" s="3">
        <v>432</v>
      </c>
      <c r="F398" s="5">
        <v>44232.3611933744</v>
      </c>
      <c r="G398">
        <v>1146.36566601436</v>
      </c>
    </row>
    <row r="399" ht="16.5" spans="5:7">
      <c r="E399" s="3">
        <v>433</v>
      </c>
      <c r="F399" s="5">
        <v>44323.824701765</v>
      </c>
      <c r="G399">
        <v>1154.06969252662</v>
      </c>
    </row>
    <row r="400" ht="16.5" spans="5:7">
      <c r="E400" s="3">
        <v>434</v>
      </c>
      <c r="F400" s="5">
        <v>44415.4773380507</v>
      </c>
      <c r="G400">
        <v>1161.8254931161</v>
      </c>
    </row>
    <row r="401" ht="16.5" spans="5:7">
      <c r="E401" s="3">
        <v>435</v>
      </c>
      <c r="F401" s="5">
        <v>44507.3194933094</v>
      </c>
      <c r="G401">
        <v>1169.63341572488</v>
      </c>
    </row>
    <row r="402" ht="16.5" spans="5:7">
      <c r="E402" s="3">
        <v>436</v>
      </c>
      <c r="F402" s="5">
        <v>44599.3515594277</v>
      </c>
      <c r="G402">
        <v>1177.49381063334</v>
      </c>
    </row>
    <row r="403" ht="16.5" spans="5:7">
      <c r="E403" s="3">
        <v>437</v>
      </c>
      <c r="F403" s="5">
        <v>44691.5739291027</v>
      </c>
      <c r="G403">
        <v>1185.40703047592</v>
      </c>
    </row>
    <row r="404" ht="16.5" spans="5:7">
      <c r="E404" s="3">
        <v>438</v>
      </c>
      <c r="F404" s="5">
        <v>44783.9869958432</v>
      </c>
      <c r="G404">
        <v>1193.37343025686</v>
      </c>
    </row>
    <row r="405" ht="16.5" spans="5:7">
      <c r="E405" s="3">
        <v>439</v>
      </c>
      <c r="F405" s="5">
        <v>44876.591153972</v>
      </c>
      <c r="G405">
        <v>1201.39336736619</v>
      </c>
    </row>
    <row r="406" ht="16.5" spans="5:7">
      <c r="E406" s="3">
        <v>440</v>
      </c>
      <c r="F406" s="5">
        <v>44969.386798627</v>
      </c>
      <c r="G406">
        <v>1209.46720159575</v>
      </c>
    </row>
    <row r="407" ht="16.5" spans="5:7">
      <c r="E407" s="3">
        <v>441</v>
      </c>
      <c r="F407" s="5">
        <v>45062.3743257634</v>
      </c>
      <c r="G407">
        <v>1217.59529515529</v>
      </c>
    </row>
    <row r="408" ht="16.5" spans="5:7">
      <c r="E408" s="3">
        <v>442</v>
      </c>
      <c r="F408" s="5">
        <v>45155.5541321551</v>
      </c>
      <c r="G408">
        <v>1225.77801268878</v>
      </c>
    </row>
    <row r="409" ht="16.5" spans="5:7">
      <c r="E409" s="3">
        <v>443</v>
      </c>
      <c r="F409" s="5">
        <v>45248.9266153963</v>
      </c>
      <c r="G409">
        <v>1234.01572129073</v>
      </c>
    </row>
    <row r="410" ht="16.5" spans="5:7">
      <c r="E410" s="3">
        <v>444</v>
      </c>
      <c r="F410" s="5">
        <v>45342.4921739036</v>
      </c>
      <c r="G410">
        <v>1242.30879052268</v>
      </c>
    </row>
    <row r="411" ht="16.5" spans="5:7">
      <c r="E411" s="3">
        <v>445</v>
      </c>
      <c r="F411" s="5">
        <v>45436.2512069171</v>
      </c>
      <c r="G411">
        <v>1250.65759242974</v>
      </c>
    </row>
    <row r="412" ht="16.5" spans="5:7">
      <c r="E412" s="3">
        <v>446</v>
      </c>
      <c r="F412" s="5">
        <v>45530.2041145029</v>
      </c>
      <c r="G412">
        <v>1259.06250155734</v>
      </c>
    </row>
    <row r="413" ht="16.5" spans="5:7">
      <c r="E413" s="3">
        <v>447</v>
      </c>
      <c r="F413" s="5">
        <v>45624.351297554</v>
      </c>
      <c r="G413">
        <v>1267.52389496798</v>
      </c>
    </row>
    <row r="414" ht="16.5" spans="5:7">
      <c r="E414" s="3">
        <v>448</v>
      </c>
      <c r="F414" s="5">
        <v>45718.6931577924</v>
      </c>
      <c r="G414">
        <v>1276.04215225818</v>
      </c>
    </row>
    <row r="415" ht="16.5" spans="5:7">
      <c r="E415" s="3">
        <v>449</v>
      </c>
      <c r="F415" s="5">
        <v>45813.2300977709</v>
      </c>
      <c r="G415">
        <v>1284.6176555755</v>
      </c>
    </row>
    <row r="416" ht="16.5" spans="5:7">
      <c r="E416" s="3">
        <v>450</v>
      </c>
      <c r="F416" s="5">
        <v>45907.9625208746</v>
      </c>
      <c r="G416">
        <v>1293.25078963568</v>
      </c>
    </row>
    <row r="417" ht="16.5" spans="5:7">
      <c r="E417" s="3">
        <v>451</v>
      </c>
      <c r="F417" s="5">
        <v>46002.8908313228</v>
      </c>
      <c r="G417">
        <v>1301.94194173988</v>
      </c>
    </row>
    <row r="418" ht="16.5" spans="5:7">
      <c r="E418" s="3">
        <v>452</v>
      </c>
      <c r="F418" s="5">
        <v>46098.0154341707</v>
      </c>
      <c r="G418">
        <v>1310.6915017921</v>
      </c>
    </row>
    <row r="419" ht="16.5" spans="5:7">
      <c r="E419" s="3">
        <v>453</v>
      </c>
      <c r="F419" s="5">
        <v>46193.3367353109</v>
      </c>
      <c r="G419">
        <v>1319.49986231664</v>
      </c>
    </row>
    <row r="420" ht="16.5" spans="5:7">
      <c r="E420" s="3">
        <v>454</v>
      </c>
      <c r="F420" s="5">
        <v>46288.8551414753</v>
      </c>
      <c r="G420">
        <v>1328.36741847572</v>
      </c>
    </row>
    <row r="421" ht="16.5" spans="5:7">
      <c r="E421" s="3">
        <v>455</v>
      </c>
      <c r="F421" s="5">
        <v>46384.571060237</v>
      </c>
      <c r="G421">
        <v>1337.2945680872</v>
      </c>
    </row>
    <row r="422" ht="16.5" spans="5:7">
      <c r="E422" s="3">
        <v>456</v>
      </c>
      <c r="F422" s="5">
        <v>46480.4849000118</v>
      </c>
      <c r="G422">
        <v>1346.28171164242</v>
      </c>
    </row>
    <row r="423" ht="16.5" spans="5:7">
      <c r="E423" s="3">
        <v>457</v>
      </c>
      <c r="F423" s="5">
        <v>46576.59707006</v>
      </c>
      <c r="G423">
        <v>1355.32925232422</v>
      </c>
    </row>
    <row r="424" ht="16.5" spans="5:7">
      <c r="E424" s="3">
        <v>458</v>
      </c>
      <c r="F424" s="5">
        <v>46672.9079804882</v>
      </c>
      <c r="G424">
        <v>1364.43759602493</v>
      </c>
    </row>
    <row r="425" ht="16.5" spans="5:7">
      <c r="E425" s="3">
        <v>459</v>
      </c>
      <c r="F425" s="5">
        <v>46769.418042251</v>
      </c>
      <c r="G425">
        <v>1373.60715136468</v>
      </c>
    </row>
    <row r="426" ht="16.5" spans="5:7">
      <c r="E426" s="3">
        <v>460</v>
      </c>
      <c r="F426" s="5">
        <v>46866.1276671528</v>
      </c>
      <c r="G426">
        <v>1382.83832970968</v>
      </c>
    </row>
    <row r="427" ht="16.5" spans="5:7">
      <c r="E427" s="3">
        <v>461</v>
      </c>
      <c r="F427" s="5">
        <v>46963.0372678494</v>
      </c>
      <c r="G427">
        <v>1392.13154519065</v>
      </c>
    </row>
    <row r="428" ht="16.5" spans="5:7">
      <c r="E428" s="3">
        <v>462</v>
      </c>
      <c r="F428" s="5">
        <v>47060.1472578501</v>
      </c>
      <c r="G428">
        <v>1401.48721472148</v>
      </c>
    </row>
    <row r="429" ht="16.5" spans="5:7">
      <c r="E429" s="3">
        <v>463</v>
      </c>
      <c r="F429" s="5">
        <v>47157.4580515191</v>
      </c>
      <c r="G429">
        <v>1410.90575801784</v>
      </c>
    </row>
    <row r="430" ht="16.5" spans="5:7">
      <c r="E430" s="3">
        <v>464</v>
      </c>
      <c r="F430" s="5">
        <v>47254.9700640775</v>
      </c>
      <c r="G430">
        <v>1420.38759761608</v>
      </c>
    </row>
    <row r="431" ht="16.5" spans="5:7">
      <c r="E431" s="3">
        <v>465</v>
      </c>
      <c r="F431" s="5">
        <v>47352.6837116049</v>
      </c>
      <c r="G431">
        <v>1429.93315889216</v>
      </c>
    </row>
    <row r="432" ht="16.5" spans="5:7">
      <c r="E432" s="3">
        <v>466</v>
      </c>
      <c r="F432" s="5">
        <v>47450.5994110413</v>
      </c>
      <c r="G432">
        <v>1439.54287008072</v>
      </c>
    </row>
    <row r="433" ht="16.5" spans="5:7">
      <c r="E433" s="3">
        <v>467</v>
      </c>
      <c r="F433" s="5">
        <v>47548.717580189</v>
      </c>
      <c r="G433">
        <v>1449.21716229431</v>
      </c>
    </row>
    <row r="434" ht="16.5" spans="5:7">
      <c r="E434" s="3">
        <v>468</v>
      </c>
      <c r="F434" s="5">
        <v>47647.0386377139</v>
      </c>
      <c r="G434">
        <v>1458.95646954272</v>
      </c>
    </row>
    <row r="435" ht="16.5" spans="5:7">
      <c r="E435" s="3">
        <v>469</v>
      </c>
      <c r="F435" s="5">
        <v>47745.563003148</v>
      </c>
      <c r="G435">
        <v>1468.76122875248</v>
      </c>
    </row>
    <row r="436" ht="16.5" spans="5:7">
      <c r="E436" s="3">
        <v>470</v>
      </c>
      <c r="F436" s="5">
        <v>47844.2910968905</v>
      </c>
      <c r="G436">
        <v>1478.6318797864</v>
      </c>
    </row>
    <row r="437" ht="16.5" spans="5:7">
      <c r="E437" s="3">
        <v>471</v>
      </c>
      <c r="F437" s="5">
        <v>47943.2233402101</v>
      </c>
      <c r="G437">
        <v>1488.56886546338</v>
      </c>
    </row>
    <row r="438" ht="16.5" spans="5:7">
      <c r="E438" s="3">
        <v>472</v>
      </c>
      <c r="F438" s="5">
        <v>48042.3601552465</v>
      </c>
      <c r="G438">
        <v>1498.5726315782</v>
      </c>
    </row>
    <row r="439" ht="16.5" spans="5:7">
      <c r="E439" s="3">
        <v>473</v>
      </c>
      <c r="F439" s="5">
        <v>48141.7019650123</v>
      </c>
      <c r="G439">
        <v>1508.64362692157</v>
      </c>
    </row>
    <row r="440" ht="16.5" spans="5:7">
      <c r="E440" s="3">
        <v>474</v>
      </c>
      <c r="F440" s="5">
        <v>48241.2491933948</v>
      </c>
      <c r="G440">
        <v>1518.78230330027</v>
      </c>
    </row>
    <row r="441" ht="16.5" spans="5:7">
      <c r="E441" s="3">
        <v>475</v>
      </c>
      <c r="F441" s="5">
        <v>48341.0022651579</v>
      </c>
      <c r="G441">
        <v>1528.98911555737</v>
      </c>
    </row>
    <row r="442" ht="16.5" spans="5:7">
      <c r="E442" s="3">
        <v>476</v>
      </c>
      <c r="F442" s="5">
        <v>48440.9616059437</v>
      </c>
      <c r="G442">
        <v>1539.26452159267</v>
      </c>
    </row>
    <row r="443" ht="16.5" spans="5:7">
      <c r="E443" s="3">
        <v>477</v>
      </c>
      <c r="F443" s="5">
        <v>48541.1276422745</v>
      </c>
      <c r="G443">
        <v>1549.60898238324</v>
      </c>
    </row>
    <row r="444" ht="16.5" spans="5:7">
      <c r="E444" s="3">
        <v>478</v>
      </c>
      <c r="F444" s="5">
        <v>48641.5008015546</v>
      </c>
      <c r="G444">
        <v>1560.0229620041</v>
      </c>
    </row>
    <row r="445" ht="16.5" spans="5:7">
      <c r="E445" s="3">
        <v>479</v>
      </c>
      <c r="F445" s="5">
        <v>48742.0815120721</v>
      </c>
      <c r="G445">
        <v>1570.50692764903</v>
      </c>
    </row>
    <row r="446" ht="16.5" spans="5:7">
      <c r="E446" s="3">
        <v>480</v>
      </c>
      <c r="F446" s="5">
        <v>48842.8702030006</v>
      </c>
      <c r="G446">
        <v>1581.06134965155</v>
      </c>
    </row>
    <row r="447" ht="16.5" spans="5:7">
      <c r="E447" s="3">
        <v>481</v>
      </c>
      <c r="F447" s="5">
        <v>48943.8673044011</v>
      </c>
      <c r="G447">
        <v>1591.68670150598</v>
      </c>
    </row>
    <row r="448" ht="16.5" spans="5:7">
      <c r="E448" s="3">
        <v>482</v>
      </c>
      <c r="F448" s="5">
        <v>49045.0732472241</v>
      </c>
      <c r="G448">
        <v>1602.38345988872</v>
      </c>
    </row>
    <row r="449" ht="16.5" spans="5:7">
      <c r="E449" s="3">
        <v>483</v>
      </c>
      <c r="F449" s="5">
        <v>49146.4884633112</v>
      </c>
      <c r="G449">
        <v>1613.15210467963</v>
      </c>
    </row>
    <row r="450" ht="16.5" spans="5:7">
      <c r="E450" s="3">
        <v>484</v>
      </c>
      <c r="F450" s="5">
        <v>49248.1133853966</v>
      </c>
      <c r="G450">
        <v>1623.99311898354</v>
      </c>
    </row>
    <row r="451" ht="16.5" spans="5:7">
      <c r="E451" s="3">
        <v>485</v>
      </c>
      <c r="F451" s="5">
        <v>49349.9484471098</v>
      </c>
      <c r="G451">
        <v>1634.90698915194</v>
      </c>
    </row>
    <row r="452" ht="16.5" spans="5:7">
      <c r="E452" s="3">
        <v>486</v>
      </c>
      <c r="F452" s="5">
        <v>49451.9940829766</v>
      </c>
      <c r="G452">
        <v>1645.89420480478</v>
      </c>
    </row>
    <row r="453" ht="16.5" spans="5:7">
      <c r="E453" s="3">
        <v>487</v>
      </c>
      <c r="F453" s="5">
        <v>49554.2507284215</v>
      </c>
      <c r="G453">
        <v>1656.95525885248</v>
      </c>
    </row>
    <row r="454" ht="16.5" spans="5:7">
      <c r="E454" s="3">
        <v>488</v>
      </c>
      <c r="F454" s="5">
        <v>49656.7188197692</v>
      </c>
      <c r="G454">
        <v>1668.09064751796</v>
      </c>
    </row>
    <row r="455" ht="16.5" spans="5:7">
      <c r="E455" s="3">
        <v>489</v>
      </c>
      <c r="F455" s="5">
        <v>49759.3987942469</v>
      </c>
      <c r="G455">
        <v>1679.30087035901</v>
      </c>
    </row>
    <row r="456" ht="16.5" spans="5:7">
      <c r="E456" s="3">
        <v>490</v>
      </c>
      <c r="F456" s="5">
        <v>49862.2910899856</v>
      </c>
      <c r="G456">
        <v>1690.5864302906</v>
      </c>
    </row>
    <row r="457" ht="16.5" spans="5:7">
      <c r="E457" s="3">
        <v>491</v>
      </c>
      <c r="F457" s="5">
        <v>49965.3961460224</v>
      </c>
      <c r="G457">
        <v>1701.9478336075</v>
      </c>
    </row>
    <row r="458" ht="16.5" spans="5:7">
      <c r="E458" s="3">
        <v>492</v>
      </c>
      <c r="F458" s="5">
        <v>50068.7144023023</v>
      </c>
      <c r="G458">
        <v>1713.38559000699</v>
      </c>
    </row>
    <row r="459" ht="16.5" spans="5:7">
      <c r="E459" s="3">
        <v>493</v>
      </c>
      <c r="F459" s="5">
        <v>50172.2462996799</v>
      </c>
      <c r="G459">
        <v>1724.9002126117</v>
      </c>
    </row>
    <row r="460" ht="16.5" spans="5:7">
      <c r="E460" s="3">
        <v>494</v>
      </c>
      <c r="F460" s="5">
        <v>50275.9922799215</v>
      </c>
      <c r="G460">
        <v>1736.49221799265</v>
      </c>
    </row>
    <row r="461" ht="16.5" spans="5:7">
      <c r="E461" s="3">
        <v>495</v>
      </c>
      <c r="F461" s="5">
        <v>50379.9527857067</v>
      </c>
      <c r="G461">
        <v>1748.16212619243</v>
      </c>
    </row>
    <row r="462" ht="16.5" spans="5:7">
      <c r="E462" s="3">
        <v>496</v>
      </c>
      <c r="F462" s="5">
        <v>50484.1282606308</v>
      </c>
      <c r="G462">
        <v>1759.9104607485</v>
      </c>
    </row>
    <row r="463" ht="16.5" spans="5:7">
      <c r="E463" s="3">
        <v>497</v>
      </c>
      <c r="F463" s="5">
        <v>50588.5191492061</v>
      </c>
      <c r="G463">
        <v>1771.73774871671</v>
      </c>
    </row>
    <row r="464" ht="16.5" spans="5:7">
      <c r="E464" s="3">
        <v>498</v>
      </c>
      <c r="F464" s="5">
        <v>50693.1258968641</v>
      </c>
      <c r="G464">
        <v>1783.64452069494</v>
      </c>
    </row>
    <row r="465" ht="16.5" spans="5:7">
      <c r="E465" s="3">
        <v>499</v>
      </c>
      <c r="F465" s="5">
        <v>50797.9489499573</v>
      </c>
      <c r="G465">
        <v>1795.63131084687</v>
      </c>
    </row>
    <row r="466" ht="16.5" spans="5:7">
      <c r="E466" s="3">
        <v>500</v>
      </c>
      <c r="F466" s="5">
        <v>50902.9887557615</v>
      </c>
      <c r="G466">
        <v>1807.698656926</v>
      </c>
    </row>
    <row r="467" ht="16.5" spans="5:7">
      <c r="E467" s="3">
        <v>501</v>
      </c>
      <c r="F467" s="5">
        <v>51008.2457624769</v>
      </c>
      <c r="G467">
        <v>1819.84710029972</v>
      </c>
    </row>
    <row r="468" ht="16.5" spans="5:7">
      <c r="E468" s="3">
        <v>502</v>
      </c>
      <c r="F468" s="5">
        <v>51113.7204192308</v>
      </c>
      <c r="G468">
        <v>1832.07718597362</v>
      </c>
    </row>
    <row r="469" ht="16.5" spans="5:7">
      <c r="E469" s="3">
        <v>503</v>
      </c>
      <c r="F469" s="5">
        <v>51219.4131760791</v>
      </c>
      <c r="G469">
        <v>1844.38946261598</v>
      </c>
    </row>
    <row r="470" ht="16.5" spans="5:7">
      <c r="E470" s="3">
        <v>504</v>
      </c>
      <c r="F470" s="5">
        <v>51325.3244840084</v>
      </c>
      <c r="G470">
        <v>1856.78448258229</v>
      </c>
    </row>
    <row r="471" ht="16.5" spans="5:7">
      <c r="E471" s="3">
        <v>505</v>
      </c>
      <c r="F471" s="5">
        <v>51431.4547949378</v>
      </c>
      <c r="G471">
        <v>1869.26280194012</v>
      </c>
    </row>
    <row r="472" ht="16.5" spans="5:7">
      <c r="E472" s="3">
        <v>506</v>
      </c>
      <c r="F472" s="5">
        <v>51537.8045617208</v>
      </c>
      <c r="G472">
        <v>1881.82498049403</v>
      </c>
    </row>
    <row r="473" ht="16.5" spans="5:7">
      <c r="E473" s="3">
        <v>507</v>
      </c>
      <c r="F473" s="5">
        <v>51644.3742381475</v>
      </c>
      <c r="G473">
        <v>1894.47158181068</v>
      </c>
    </row>
    <row r="474" ht="16.5" spans="5:7">
      <c r="E474" s="3">
        <v>508</v>
      </c>
      <c r="F474" s="5">
        <v>51751.1642789461</v>
      </c>
      <c r="G474">
        <v>1907.20317324411</v>
      </c>
    </row>
    <row r="475" ht="16.5" spans="5:7">
      <c r="E475" s="3">
        <v>509</v>
      </c>
      <c r="F475" s="5">
        <v>51858.1751397852</v>
      </c>
      <c r="G475">
        <v>1920.02032596121</v>
      </c>
    </row>
    <row r="476" ht="16.5" spans="5:7">
      <c r="E476" s="3">
        <v>510</v>
      </c>
      <c r="F476" s="5">
        <v>51965.4072772757</v>
      </c>
      <c r="G476">
        <v>1932.92361496735</v>
      </c>
    </row>
    <row r="477" ht="16.5" spans="5:7">
      <c r="E477" s="3">
        <v>511</v>
      </c>
      <c r="F477" s="5">
        <v>52072.8611489727</v>
      </c>
      <c r="G477">
        <v>1945.91361913214</v>
      </c>
    </row>
    <row r="478" ht="16.5" spans="5:7">
      <c r="E478" s="3">
        <v>512</v>
      </c>
      <c r="F478" s="5">
        <v>52180.5372133772</v>
      </c>
      <c r="G478">
        <v>1958.99092121543</v>
      </c>
    </row>
    <row r="479" ht="16.5" spans="5:7">
      <c r="E479" s="3">
        <v>513</v>
      </c>
      <c r="F479" s="5">
        <v>52288.4359299385</v>
      </c>
      <c r="G479">
        <v>1972.15610789344</v>
      </c>
    </row>
    <row r="480" ht="16.5" spans="5:7">
      <c r="E480" s="3">
        <v>514</v>
      </c>
      <c r="F480" s="5">
        <v>52396.557759056</v>
      </c>
      <c r="G480">
        <v>1985.40976978508</v>
      </c>
    </row>
    <row r="481" ht="16.5" spans="5:7">
      <c r="E481" s="3">
        <v>515</v>
      </c>
      <c r="F481" s="5">
        <v>52504.9031620807</v>
      </c>
      <c r="G481">
        <v>1998.75250147847</v>
      </c>
    </row>
    <row r="482" ht="16.5" spans="5:7">
      <c r="E482" s="3">
        <v>516</v>
      </c>
      <c r="F482" s="5">
        <v>52613.4726013182</v>
      </c>
      <c r="G482">
        <v>2012.18490155757</v>
      </c>
    </row>
    <row r="483" ht="16.5" spans="5:7">
      <c r="E483" s="3">
        <v>517</v>
      </c>
      <c r="F483" s="5">
        <v>52722.2665400295</v>
      </c>
      <c r="G483">
        <v>2025.70757262908</v>
      </c>
    </row>
    <row r="484" ht="16.5" spans="5:7">
      <c r="E484" s="3">
        <v>518</v>
      </c>
      <c r="F484" s="5">
        <v>52831.2854424339</v>
      </c>
      <c r="G484">
        <v>2039.32112134944</v>
      </c>
    </row>
    <row r="485" ht="16.5" spans="5:7">
      <c r="E485" s="3">
        <v>519</v>
      </c>
      <c r="F485" s="5">
        <v>52940.5297737104</v>
      </c>
      <c r="G485">
        <v>2053.02615845207</v>
      </c>
    </row>
    <row r="486" ht="16.5" spans="5:7">
      <c r="E486" s="3">
        <v>520</v>
      </c>
      <c r="F486" s="5">
        <v>53050</v>
      </c>
      <c r="G486">
        <v>2066.82329877474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14</vt:i4>
      </vt:variant>
    </vt:vector>
  </HeadingPairs>
  <TitlesOfParts>
    <vt:vector size="14" baseType="lpstr">
      <vt:lpstr>ChangeLog</vt:lpstr>
      <vt:lpstr>核心循环</vt:lpstr>
      <vt:lpstr>战斗公式</vt:lpstr>
      <vt:lpstr>养成框架</vt:lpstr>
      <vt:lpstr>养成框架(补充给运营)</vt:lpstr>
      <vt:lpstr>属性规划（旧）</vt:lpstr>
      <vt:lpstr>属性规划(新)</vt:lpstr>
      <vt:lpstr>玩法产出(新)</vt:lpstr>
      <vt:lpstr>玩法框架</vt:lpstr>
      <vt:lpstr>内容释放节奏</vt:lpstr>
      <vt:lpstr>商业化框架</vt:lpstr>
      <vt:lpstr>商业化框架(续)</vt:lpstr>
      <vt:lpstr>养成材料产销框架</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Administrator</cp:lastModifiedBy>
  <dcterms:created xsi:type="dcterms:W3CDTF">2025-05-12T09:01:00Z</dcterms:created>
  <dcterms:modified xsi:type="dcterms:W3CDTF">2026-10-20T07:56:27Z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3AF666D14CAB46A6954A3D57E597BC04_12</vt:lpwstr>
  </property>
  <property fmtid="{D5CDD505-2E9C-101B-9397-08002B2CF9AE}" pid="3" name="KSOProductBuildVer">
    <vt:lpwstr>2052-12.1.0.29158</vt:lpwstr>
  </property>
  <property fmtid="{D5CDD505-2E9C-101B-9397-08002B2CF9AE}" pid="4" name="CalculationRule">
    <vt:i4>0</vt:i4>
  </property>
</Properties>
</file>